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cminipro/Library/CloudStorage/GoogleDrive-elevateinvests@gmail.com/My Drive/ Elevate/Resources/underwriting/"/>
    </mc:Choice>
  </mc:AlternateContent>
  <xr:revisionPtr revIDLastSave="0" documentId="13_ncr:1_{08EDD3CD-EDE2-7E4D-9370-4B287FDF4AE5}" xr6:coauthVersionLast="47" xr6:coauthVersionMax="47" xr10:uidLastSave="{00000000-0000-0000-0000-000000000000}"/>
  <bookViews>
    <workbookView xWindow="0" yWindow="500" windowWidth="28660" windowHeight="16140" xr2:uid="{795A9D99-49BA-D24D-B4ED-3362FE66B227}"/>
  </bookViews>
  <sheets>
    <sheet name="inputs" sheetId="8" r:id="rId1"/>
    <sheet name="simple model" sheetId="9" r:id="rId2"/>
    <sheet name="TIC GP LP split" sheetId="10" r:id="rId3"/>
  </sheets>
  <calcPr calcId="191029" calcMode="autoNoTable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10" i="10" l="1"/>
  <c r="L10" i="10"/>
  <c r="K10" i="10"/>
  <c r="J10" i="10"/>
  <c r="I10" i="10"/>
  <c r="M17" i="10"/>
  <c r="L17" i="10"/>
  <c r="K17" i="10"/>
  <c r="J17" i="10"/>
  <c r="I17" i="10"/>
  <c r="C26" i="10"/>
  <c r="C25" i="9"/>
  <c r="C12" i="10" l="1"/>
  <c r="C11" i="9"/>
  <c r="H3" i="9"/>
  <c r="H3" i="10" l="1"/>
  <c r="G3" i="9"/>
  <c r="G3" i="10" s="1"/>
  <c r="F11" i="9"/>
  <c r="C16" i="8"/>
  <c r="J3" i="10"/>
  <c r="K3" i="10" s="1"/>
  <c r="L3" i="10" s="1"/>
  <c r="M3" i="10" s="1"/>
  <c r="J3" i="9"/>
  <c r="K3" i="9" s="1"/>
  <c r="L3" i="9" s="1"/>
  <c r="M3" i="9" s="1"/>
  <c r="F11" i="10"/>
  <c r="F16" i="8"/>
  <c r="E16" i="8"/>
  <c r="D16" i="8"/>
  <c r="G7" i="8"/>
  <c r="C20" i="8" s="1"/>
  <c r="C24" i="10"/>
  <c r="C20" i="10"/>
  <c r="C16" i="10"/>
  <c r="C15" i="10"/>
  <c r="C14" i="10"/>
  <c r="C3" i="10"/>
  <c r="C24" i="9"/>
  <c r="C23" i="9"/>
  <c r="C19" i="9"/>
  <c r="C15" i="9"/>
  <c r="C14" i="9"/>
  <c r="C13" i="9"/>
  <c r="C3" i="9"/>
  <c r="A11" i="10"/>
  <c r="F24" i="10"/>
  <c r="F13" i="10"/>
  <c r="C25" i="10"/>
  <c r="A10" i="10"/>
  <c r="A9" i="10"/>
  <c r="K16" i="8"/>
  <c r="I16" i="8"/>
  <c r="H16" i="8"/>
  <c r="A9" i="9"/>
  <c r="A10" i="9"/>
  <c r="G16" i="8" l="1"/>
  <c r="C23" i="8" s="1"/>
  <c r="G8" i="8"/>
  <c r="C21" i="8" s="1"/>
  <c r="C17" i="9" s="1"/>
  <c r="C11" i="10"/>
  <c r="F45" i="10" s="1"/>
  <c r="C10" i="9"/>
  <c r="C10" i="10"/>
  <c r="C4" i="10" l="1"/>
  <c r="I4" i="10" s="1"/>
  <c r="C4" i="9"/>
  <c r="I4" i="9" s="1"/>
  <c r="C18" i="9"/>
  <c r="C18" i="10"/>
  <c r="C19" i="10"/>
  <c r="I5" i="9" l="1"/>
  <c r="I5" i="10"/>
  <c r="F4" i="10"/>
  <c r="G4" i="10" s="1"/>
  <c r="G5" i="10" s="1"/>
  <c r="C5" i="9"/>
  <c r="C9" i="9"/>
  <c r="C9" i="10"/>
  <c r="C5" i="10"/>
  <c r="F4" i="9"/>
  <c r="I6" i="10"/>
  <c r="I7" i="10"/>
  <c r="I8" i="10" s="1"/>
  <c r="I6" i="9"/>
  <c r="I7" i="9"/>
  <c r="I8" i="9" s="1"/>
  <c r="I1" i="9"/>
  <c r="F7" i="10" l="1"/>
  <c r="F9" i="10" s="1"/>
  <c r="C8" i="10"/>
  <c r="C13" i="10"/>
  <c r="C12" i="9"/>
  <c r="C8" i="9"/>
  <c r="G4" i="9"/>
  <c r="F1" i="9"/>
  <c r="F7" i="9"/>
  <c r="F9" i="9" s="1"/>
  <c r="I9" i="9"/>
  <c r="I9" i="10"/>
  <c r="I18" i="10" s="1"/>
  <c r="H4" i="10"/>
  <c r="G6" i="10"/>
  <c r="G7" i="10"/>
  <c r="G8" i="10" s="1"/>
  <c r="G11" i="10"/>
  <c r="M10" i="9" l="1"/>
  <c r="J10" i="9"/>
  <c r="I10" i="9"/>
  <c r="L10" i="9"/>
  <c r="K10" i="9"/>
  <c r="L17" i="9"/>
  <c r="M17" i="9"/>
  <c r="K17" i="9"/>
  <c r="J17" i="9"/>
  <c r="I17" i="9"/>
  <c r="H10" i="9"/>
  <c r="G10" i="9"/>
  <c r="H10" i="10"/>
  <c r="G10" i="10"/>
  <c r="G7" i="9"/>
  <c r="G8" i="9" s="1"/>
  <c r="G5" i="9"/>
  <c r="H11" i="10"/>
  <c r="H5" i="10"/>
  <c r="C7" i="10"/>
  <c r="H4" i="9"/>
  <c r="H5" i="9" s="1"/>
  <c r="G6" i="9"/>
  <c r="G11" i="9"/>
  <c r="G1" i="9"/>
  <c r="G20" i="9"/>
  <c r="G20" i="10"/>
  <c r="G9" i="10"/>
  <c r="G18" i="10" s="1"/>
  <c r="I3" i="10"/>
  <c r="H7" i="10"/>
  <c r="H8" i="10" s="1"/>
  <c r="H6" i="10"/>
  <c r="J4" i="10"/>
  <c r="J5" i="10" s="1"/>
  <c r="I11" i="10"/>
  <c r="G27" i="10" l="1"/>
  <c r="M22" i="10"/>
  <c r="L22" i="10"/>
  <c r="K22" i="10"/>
  <c r="J22" i="10"/>
  <c r="I22" i="10"/>
  <c r="H22" i="10"/>
  <c r="G22" i="10"/>
  <c r="H20" i="9"/>
  <c r="I20" i="9" s="1"/>
  <c r="J20" i="9" s="1"/>
  <c r="K20" i="9" s="1"/>
  <c r="L20" i="9" s="1"/>
  <c r="M20" i="9" s="1"/>
  <c r="J27" i="10"/>
  <c r="H20" i="10"/>
  <c r="I20" i="10" s="1"/>
  <c r="J20" i="10" s="1"/>
  <c r="K20" i="10" s="1"/>
  <c r="L20" i="10" s="1"/>
  <c r="M20" i="10" s="1"/>
  <c r="I27" i="10"/>
  <c r="H27" i="10"/>
  <c r="L27" i="10"/>
  <c r="M27" i="10"/>
  <c r="K27" i="10"/>
  <c r="G41" i="10"/>
  <c r="G9" i="9"/>
  <c r="G13" i="9" s="1"/>
  <c r="I3" i="9"/>
  <c r="H11" i="9"/>
  <c r="H1" i="9"/>
  <c r="H6" i="9"/>
  <c r="H7" i="9"/>
  <c r="H8" i="9" s="1"/>
  <c r="H9" i="10"/>
  <c r="J6" i="10"/>
  <c r="J7" i="10"/>
  <c r="J8" i="10" s="1"/>
  <c r="I41" i="10"/>
  <c r="K4" i="10"/>
  <c r="K5" i="10" s="1"/>
  <c r="J11" i="10"/>
  <c r="G19" i="10"/>
  <c r="G21" i="10" s="1"/>
  <c r="G12" i="10"/>
  <c r="G23" i="10" l="1"/>
  <c r="G24" i="10" s="1"/>
  <c r="G25" i="10" s="1"/>
  <c r="H12" i="10"/>
  <c r="H13" i="10" s="1"/>
  <c r="H14" i="10" s="1"/>
  <c r="H15" i="10" s="1"/>
  <c r="H18" i="10"/>
  <c r="H19" i="10" s="1"/>
  <c r="H21" i="10" s="1"/>
  <c r="H9" i="9"/>
  <c r="H13" i="9" s="1"/>
  <c r="H41" i="10"/>
  <c r="G13" i="10"/>
  <c r="G14" i="10" s="1"/>
  <c r="K6" i="10"/>
  <c r="J9" i="10"/>
  <c r="K11" i="10"/>
  <c r="L4" i="10"/>
  <c r="L5" i="10" s="1"/>
  <c r="I19" i="10"/>
  <c r="I21" i="10" s="1"/>
  <c r="I12" i="10"/>
  <c r="K7" i="10"/>
  <c r="K8" i="10" s="1"/>
  <c r="I23" i="10" l="1"/>
  <c r="I24" i="10" s="1"/>
  <c r="I25" i="10" s="1"/>
  <c r="H23" i="10"/>
  <c r="H24" i="10" s="1"/>
  <c r="H48" i="10" s="1"/>
  <c r="I13" i="10"/>
  <c r="I14" i="10" s="1"/>
  <c r="I29" i="10"/>
  <c r="J29" i="10" s="1"/>
  <c r="J41" i="10"/>
  <c r="J18" i="10"/>
  <c r="J19" i="10" s="1"/>
  <c r="J21" i="10" s="1"/>
  <c r="G47" i="10"/>
  <c r="H47" i="10" s="1"/>
  <c r="K9" i="10"/>
  <c r="L6" i="10"/>
  <c r="M4" i="10"/>
  <c r="M5" i="10" s="1"/>
  <c r="L11" i="10"/>
  <c r="J12" i="10"/>
  <c r="J13" i="10" s="1"/>
  <c r="J14" i="10" s="1"/>
  <c r="L7" i="10"/>
  <c r="L8" i="10" s="1"/>
  <c r="H28" i="10"/>
  <c r="I28" i="10" s="1"/>
  <c r="I48" i="10" l="1"/>
  <c r="H25" i="10"/>
  <c r="H29" i="10" s="1"/>
  <c r="H39" i="10" s="1"/>
  <c r="H38" i="10" s="1"/>
  <c r="J23" i="10"/>
  <c r="J24" i="10" s="1"/>
  <c r="J48" i="10" s="1"/>
  <c r="I47" i="10"/>
  <c r="I15" i="10"/>
  <c r="J30" i="10"/>
  <c r="K30" i="10" s="1"/>
  <c r="L30" i="10" s="1"/>
  <c r="M30" i="10" s="1"/>
  <c r="I30" i="10"/>
  <c r="I39" i="10" s="1"/>
  <c r="I40" i="10" s="1"/>
  <c r="K41" i="10"/>
  <c r="K18" i="10"/>
  <c r="K19" i="10" s="1"/>
  <c r="K21" i="10" s="1"/>
  <c r="H49" i="10"/>
  <c r="H51" i="10" s="1"/>
  <c r="H53" i="10" s="1"/>
  <c r="M11" i="10"/>
  <c r="M6" i="10"/>
  <c r="L9" i="10"/>
  <c r="L41" i="10" s="1"/>
  <c r="G18" i="9"/>
  <c r="G19" i="9" s="1"/>
  <c r="G21" i="9" s="1"/>
  <c r="G37" i="9"/>
  <c r="H18" i="9"/>
  <c r="H19" i="9" s="1"/>
  <c r="H21" i="9" s="1"/>
  <c r="H37" i="9"/>
  <c r="K12" i="10"/>
  <c r="K13" i="10" s="1"/>
  <c r="K14" i="10" s="1"/>
  <c r="M7" i="10"/>
  <c r="M8" i="10" s="1"/>
  <c r="G15" i="10"/>
  <c r="J15" i="10"/>
  <c r="K31" i="10"/>
  <c r="L31" i="10" s="1"/>
  <c r="M31" i="10" s="1"/>
  <c r="J28" i="10"/>
  <c r="K28" i="10" s="1"/>
  <c r="L28" i="10" s="1"/>
  <c r="M28" i="10" s="1"/>
  <c r="K29" i="10"/>
  <c r="H24" i="9"/>
  <c r="I24" i="9" s="1"/>
  <c r="J24" i="9" s="1"/>
  <c r="K24" i="9" s="1"/>
  <c r="L24" i="9" s="1"/>
  <c r="M24" i="9" s="1"/>
  <c r="H36" i="10" l="1"/>
  <c r="I49" i="10"/>
  <c r="I51" i="10" s="1"/>
  <c r="I52" i="10" s="1"/>
  <c r="J47" i="10"/>
  <c r="J49" i="10" s="1"/>
  <c r="J51" i="10" s="1"/>
  <c r="J25" i="10"/>
  <c r="J31" i="10" s="1"/>
  <c r="J39" i="10" s="1"/>
  <c r="J38" i="10" s="1"/>
  <c r="K23" i="10"/>
  <c r="K24" i="10" s="1"/>
  <c r="K25" i="10" s="1"/>
  <c r="G48" i="10"/>
  <c r="G49" i="10" s="1"/>
  <c r="G51" i="10" s="1"/>
  <c r="G52" i="10" s="1"/>
  <c r="I36" i="10"/>
  <c r="H52" i="10"/>
  <c r="M9" i="10"/>
  <c r="M41" i="10" s="1"/>
  <c r="G24" i="9"/>
  <c r="H25" i="9"/>
  <c r="I38" i="10"/>
  <c r="G28" i="10"/>
  <c r="G39" i="10" s="1"/>
  <c r="G38" i="10" s="1"/>
  <c r="L18" i="10"/>
  <c r="L12" i="10"/>
  <c r="L13" i="10" s="1"/>
  <c r="L14" i="10" s="1"/>
  <c r="M33" i="10" s="1"/>
  <c r="L32" i="10"/>
  <c r="M32" i="10" s="1"/>
  <c r="K15" i="10"/>
  <c r="H40" i="10"/>
  <c r="L29" i="10"/>
  <c r="I25" i="9"/>
  <c r="J25" i="9" s="1"/>
  <c r="K25" i="9" s="1"/>
  <c r="L25" i="9" s="1"/>
  <c r="M25" i="9" s="1"/>
  <c r="C7" i="9"/>
  <c r="G15" i="9" s="1"/>
  <c r="I53" i="10" l="1"/>
  <c r="K47" i="10"/>
  <c r="L47" i="10" s="1"/>
  <c r="K48" i="10"/>
  <c r="J36" i="10"/>
  <c r="G53" i="10"/>
  <c r="G40" i="10"/>
  <c r="K32" i="10"/>
  <c r="M18" i="10"/>
  <c r="M19" i="10" s="1"/>
  <c r="M21" i="10" s="1"/>
  <c r="M12" i="10"/>
  <c r="M13" i="10" s="1"/>
  <c r="M14" i="10" s="1"/>
  <c r="M15" i="10" s="1"/>
  <c r="J53" i="10"/>
  <c r="J52" i="10"/>
  <c r="L15" i="10"/>
  <c r="J40" i="10"/>
  <c r="L19" i="10"/>
  <c r="L21" i="10" s="1"/>
  <c r="M29" i="10"/>
  <c r="I23" i="9"/>
  <c r="H23" i="9"/>
  <c r="H32" i="9" s="1"/>
  <c r="H15" i="9"/>
  <c r="G23" i="9"/>
  <c r="G35" i="9" s="1"/>
  <c r="K23" i="9"/>
  <c r="J23" i="9"/>
  <c r="L23" i="9"/>
  <c r="M23" i="9"/>
  <c r="K49" i="10" l="1"/>
  <c r="K51" i="10" s="1"/>
  <c r="K52" i="10" s="1"/>
  <c r="M23" i="10"/>
  <c r="M24" i="10" s="1"/>
  <c r="M25" i="10" s="1"/>
  <c r="L23" i="10"/>
  <c r="L24" i="10" s="1"/>
  <c r="L48" i="10" s="1"/>
  <c r="L49" i="10" s="1"/>
  <c r="L51" i="10" s="1"/>
  <c r="K39" i="10"/>
  <c r="K36" i="10"/>
  <c r="M47" i="10"/>
  <c r="G34" i="9"/>
  <c r="G36" i="9"/>
  <c r="H35" i="9"/>
  <c r="K53" i="10" l="1"/>
  <c r="L25" i="10"/>
  <c r="L33" i="10" s="1"/>
  <c r="L39" i="10" s="1"/>
  <c r="M48" i="10"/>
  <c r="M49" i="10" s="1"/>
  <c r="M51" i="10" s="1"/>
  <c r="M52" i="10" s="1"/>
  <c r="K40" i="10"/>
  <c r="K38" i="10"/>
  <c r="M34" i="10"/>
  <c r="L53" i="10"/>
  <c r="L52" i="10"/>
  <c r="H34" i="9"/>
  <c r="H36" i="9"/>
  <c r="L36" i="10" l="1"/>
  <c r="M53" i="10"/>
  <c r="M39" i="10"/>
  <c r="M36" i="10"/>
  <c r="L40" i="10"/>
  <c r="L38" i="10"/>
  <c r="M38" i="10" l="1"/>
  <c r="M40" i="10"/>
  <c r="J7" i="9"/>
  <c r="I37" i="9"/>
  <c r="I11" i="9"/>
  <c r="J4" i="9"/>
  <c r="J5" i="9" s="1"/>
  <c r="J1" i="9" l="1"/>
  <c r="J6" i="9"/>
  <c r="J9" i="9" s="1"/>
  <c r="J37" i="9" s="1"/>
  <c r="J8" i="9"/>
  <c r="I13" i="9"/>
  <c r="I18" i="9"/>
  <c r="J11" i="9"/>
  <c r="K4" i="9"/>
  <c r="K5" i="9" s="1"/>
  <c r="K7" i="9"/>
  <c r="K1" i="9" l="1"/>
  <c r="K6" i="9"/>
  <c r="K9" i="9" s="1"/>
  <c r="K37" i="9" s="1"/>
  <c r="K8" i="9"/>
  <c r="L7" i="9"/>
  <c r="K11" i="9"/>
  <c r="L4" i="9"/>
  <c r="L5" i="9" s="1"/>
  <c r="J18" i="9"/>
  <c r="J13" i="9"/>
  <c r="I19" i="9"/>
  <c r="I21" i="9" s="1"/>
  <c r="I26" i="9" s="1"/>
  <c r="J26" i="9"/>
  <c r="I15" i="9"/>
  <c r="L1" i="9" l="1"/>
  <c r="L6" i="9"/>
  <c r="L9" i="9" s="1"/>
  <c r="L37" i="9" s="1"/>
  <c r="L8" i="9"/>
  <c r="J15" i="9"/>
  <c r="K27" i="9"/>
  <c r="L27" i="9" s="1"/>
  <c r="M27" i="9" s="1"/>
  <c r="K13" i="9"/>
  <c r="K18" i="9"/>
  <c r="M4" i="9"/>
  <c r="M5" i="9" s="1"/>
  <c r="L11" i="9"/>
  <c r="J19" i="9"/>
  <c r="J21" i="9" s="1"/>
  <c r="J27" i="9" s="1"/>
  <c r="K26" i="9"/>
  <c r="I35" i="9"/>
  <c r="I32" i="9"/>
  <c r="M7" i="9"/>
  <c r="M1" i="9" l="1"/>
  <c r="M6" i="9"/>
  <c r="M9" i="9" s="1"/>
  <c r="M37" i="9" s="1"/>
  <c r="M8" i="9"/>
  <c r="J35" i="9"/>
  <c r="J36" i="9" s="1"/>
  <c r="J32" i="9"/>
  <c r="I34" i="9"/>
  <c r="I36" i="9"/>
  <c r="M11" i="9"/>
  <c r="K19" i="9"/>
  <c r="K21" i="9" s="1"/>
  <c r="K28" i="9" s="1"/>
  <c r="K32" i="9" s="1"/>
  <c r="L18" i="9"/>
  <c r="L13" i="9"/>
  <c r="L26" i="9"/>
  <c r="L28" i="9"/>
  <c r="M28" i="9" s="1"/>
  <c r="K15" i="9"/>
  <c r="J34" i="9" l="1"/>
  <c r="K35" i="9"/>
  <c r="K34" i="9" s="1"/>
  <c r="M26" i="9"/>
  <c r="M29" i="9"/>
  <c r="L15" i="9"/>
  <c r="L19" i="9"/>
  <c r="L21" i="9" s="1"/>
  <c r="L29" i="9" s="1"/>
  <c r="L32" i="9" s="1"/>
  <c r="M18" i="9"/>
  <c r="M13" i="9"/>
  <c r="M15" i="9" s="1"/>
  <c r="N15" i="9" s="1"/>
  <c r="K36" i="9" l="1"/>
  <c r="L35" i="9"/>
  <c r="L34" i="9" s="1"/>
  <c r="M19" i="9"/>
  <c r="M21" i="9" s="1"/>
  <c r="M30" i="9" s="1"/>
  <c r="L36" i="9" l="1"/>
  <c r="M35" i="9"/>
  <c r="M34" i="9" s="1"/>
  <c r="M32" i="9"/>
  <c r="M36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 Lee</author>
  </authors>
  <commentList>
    <comment ref="C29" authorId="0" shapeId="0" xr:uid="{7DB12717-01A3-AD41-A572-F5F90A3E1339}">
      <text>
        <r>
          <rPr>
            <b/>
            <sz val="10"/>
            <color rgb="FF000000"/>
            <rFont val="Tahoma"/>
            <family val="2"/>
          </rPr>
          <t>Ki Lee:</t>
        </r>
        <r>
          <rPr>
            <sz val="10"/>
            <color rgb="FF000000"/>
            <rFont val="Tahoma"/>
            <family val="2"/>
          </rPr>
          <t xml:space="preserve">
</t>
        </r>
        <r>
          <rPr>
            <sz val="10"/>
            <color rgb="FF000000"/>
            <rFont val="Tahoma"/>
            <family val="2"/>
          </rPr>
          <t xml:space="preserve">Reno - 35%
</t>
        </r>
        <r>
          <rPr>
            <sz val="10"/>
            <color rgb="FF000000"/>
            <rFont val="Tahoma"/>
            <family val="2"/>
          </rPr>
          <t xml:space="preserve">San Antonio - 55%
</t>
        </r>
        <r>
          <rPr>
            <sz val="10"/>
            <color rgb="FF000000"/>
            <rFont val="Tahoma"/>
            <family val="2"/>
          </rPr>
          <t>Standard - 50%</t>
        </r>
      </text>
    </comment>
  </commentList>
</comments>
</file>

<file path=xl/sharedStrings.xml><?xml version="1.0" encoding="utf-8"?>
<sst xmlns="http://schemas.openxmlformats.org/spreadsheetml/2006/main" count="142" uniqueCount="80">
  <si>
    <t>current</t>
  </si>
  <si>
    <t>purchase price</t>
  </si>
  <si>
    <t>units</t>
  </si>
  <si>
    <t>loan</t>
  </si>
  <si>
    <t>interest</t>
  </si>
  <si>
    <t>closing costs</t>
  </si>
  <si>
    <t>debt</t>
  </si>
  <si>
    <t>disposition</t>
  </si>
  <si>
    <t>sales cap</t>
  </si>
  <si>
    <t>sales cost</t>
  </si>
  <si>
    <t>amortization</t>
  </si>
  <si>
    <t>NOI</t>
  </si>
  <si>
    <t>Debt Service</t>
  </si>
  <si>
    <t>Capex</t>
  </si>
  <si>
    <t>Cashflow</t>
  </si>
  <si>
    <t>COC</t>
  </si>
  <si>
    <t>Principle Paydown</t>
  </si>
  <si>
    <t>Sales Price</t>
  </si>
  <si>
    <t>Sales Cost</t>
  </si>
  <si>
    <t>Debt Remaining</t>
  </si>
  <si>
    <t>Total Proceeds</t>
  </si>
  <si>
    <t>7+sales</t>
  </si>
  <si>
    <t>IRR</t>
  </si>
  <si>
    <t>ROI</t>
  </si>
  <si>
    <t>Total Profit</t>
  </si>
  <si>
    <t>EM</t>
  </si>
  <si>
    <t>equity</t>
  </si>
  <si>
    <t>current rents</t>
  </si>
  <si>
    <t>pro forma rents</t>
  </si>
  <si>
    <t>Project Summary</t>
  </si>
  <si>
    <t>Initial capex</t>
  </si>
  <si>
    <t>price per unit</t>
  </si>
  <si>
    <t>total capitalization</t>
  </si>
  <si>
    <t>LTC</t>
  </si>
  <si>
    <t>complex size</t>
  </si>
  <si>
    <t>average</t>
  </si>
  <si>
    <t>expenses</t>
  </si>
  <si>
    <t>property name</t>
  </si>
  <si>
    <t>condition</t>
  </si>
  <si>
    <t>year built</t>
  </si>
  <si>
    <t>unit size</t>
  </si>
  <si>
    <t>Current rents</t>
  </si>
  <si>
    <t>expense ratio</t>
  </si>
  <si>
    <t>sales cap rate</t>
  </si>
  <si>
    <t>number of units</t>
  </si>
  <si>
    <t>stabilized</t>
  </si>
  <si>
    <t>operation</t>
  </si>
  <si>
    <t>acquistion</t>
  </si>
  <si>
    <t>acquisition</t>
  </si>
  <si>
    <t>GP split</t>
  </si>
  <si>
    <t>LP cashflow</t>
  </si>
  <si>
    <t>LP COC</t>
  </si>
  <si>
    <t>LP proceeds</t>
  </si>
  <si>
    <t>GP pay</t>
  </si>
  <si>
    <t>GP compensation</t>
  </si>
  <si>
    <t>equity split</t>
  </si>
  <si>
    <t>acquisition fee</t>
  </si>
  <si>
    <t>refinance</t>
  </si>
  <si>
    <t>cashflow</t>
  </si>
  <si>
    <t>total</t>
  </si>
  <si>
    <t>average per year</t>
  </si>
  <si>
    <t>rent growth</t>
  </si>
  <si>
    <t>Y1</t>
  </si>
  <si>
    <t>Y2</t>
  </si>
  <si>
    <t>Studio</t>
  </si>
  <si>
    <t>DSCR</t>
  </si>
  <si>
    <t>subject property</t>
  </si>
  <si>
    <t>refi interest</t>
  </si>
  <si>
    <t>vacancy</t>
  </si>
  <si>
    <t>operating funds</t>
  </si>
  <si>
    <t>Rent</t>
  </si>
  <si>
    <t>additional income</t>
  </si>
  <si>
    <t>expense increase/yr</t>
  </si>
  <si>
    <t>initial capex/unit</t>
  </si>
  <si>
    <t>ongoing capex/yr</t>
  </si>
  <si>
    <t>Return of Capital</t>
  </si>
  <si>
    <t>pro forma</t>
  </si>
  <si>
    <t>2x1</t>
  </si>
  <si>
    <t>1x1</t>
  </si>
  <si>
    <t>3x1.5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</si>
</sst>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* #,##0.0_);_(* \(#,##0.0\);_(* &quot;-&quot;?_);_(@_)"/>
  </numFmts>
  <fonts count="1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rgb="FF00B0F0"/>
      <name val="Calibri"/>
      <family val="2"/>
      <scheme val="minor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u val="singleAccounting"/>
      <sz val="12"/>
      <color theme="1"/>
      <name val="Calibri"/>
      <family val="2"/>
      <scheme val="minor"/>
    </font>
    <font>
      <sz val="12"/>
      <color rgb="FF0432FF"/>
      <name val="Calibri"/>
      <family val="2"/>
      <scheme val="minor"/>
    </font>
    <font>
      <b/>
      <sz val="12"/>
      <color rgb="FF0432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7">
    <xf numFmtId="0" fontId="0" fillId="0" borderId="0" xfId="0"/>
    <xf numFmtId="0" fontId="0" fillId="0" borderId="0" xfId="0" applyAlignment="1">
      <alignment horizontal="left" vertical="top"/>
    </xf>
    <xf numFmtId="0" fontId="0" fillId="0" borderId="5" xfId="0" applyBorder="1" applyAlignment="1">
      <alignment horizontal="left" vertical="top"/>
    </xf>
    <xf numFmtId="164" fontId="0" fillId="0" borderId="0" xfId="1" applyNumberFormat="1" applyFont="1" applyFill="1" applyBorder="1" applyAlignment="1">
      <alignment horizontal="left" vertical="top"/>
    </xf>
    <xf numFmtId="0" fontId="6" fillId="0" borderId="0" xfId="0" applyFont="1" applyAlignment="1">
      <alignment horizontal="left" vertical="top"/>
    </xf>
    <xf numFmtId="0" fontId="0" fillId="0" borderId="5" xfId="0" applyBorder="1"/>
    <xf numFmtId="0" fontId="6" fillId="0" borderId="5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164" fontId="0" fillId="0" borderId="0" xfId="1" applyNumberFormat="1" applyFont="1" applyFill="1" applyBorder="1" applyAlignment="1">
      <alignment horizontal="right" vertical="top"/>
    </xf>
    <xf numFmtId="0" fontId="7" fillId="0" borderId="8" xfId="0" applyFont="1" applyBorder="1" applyAlignment="1">
      <alignment horizontal="left" vertical="top"/>
    </xf>
    <xf numFmtId="164" fontId="3" fillId="0" borderId="8" xfId="1" applyNumberFormat="1" applyFont="1" applyFill="1" applyBorder="1" applyAlignment="1">
      <alignment horizontal="left" vertical="top"/>
    </xf>
    <xf numFmtId="0" fontId="7" fillId="0" borderId="5" xfId="0" applyFont="1" applyBorder="1" applyAlignment="1">
      <alignment horizontal="left" vertical="top"/>
    </xf>
    <xf numFmtId="164" fontId="3" fillId="0" borderId="0" xfId="1" applyNumberFormat="1" applyFont="1" applyFill="1" applyBorder="1" applyAlignment="1">
      <alignment horizontal="left" vertical="top"/>
    </xf>
    <xf numFmtId="10" fontId="3" fillId="0" borderId="0" xfId="2" applyNumberFormat="1" applyFont="1" applyFill="1" applyBorder="1" applyAlignment="1"/>
    <xf numFmtId="164" fontId="6" fillId="0" borderId="0" xfId="1" applyNumberFormat="1" applyFont="1" applyFill="1" applyBorder="1" applyAlignment="1">
      <alignment horizontal="left" vertical="top"/>
    </xf>
    <xf numFmtId="0" fontId="6" fillId="0" borderId="1" xfId="0" applyFont="1" applyBorder="1" applyAlignment="1">
      <alignment horizontal="left" vertical="top"/>
    </xf>
    <xf numFmtId="10" fontId="0" fillId="0" borderId="8" xfId="2" applyNumberFormat="1" applyFont="1" applyFill="1" applyBorder="1" applyAlignment="1">
      <alignment horizontal="right" vertical="top"/>
    </xf>
    <xf numFmtId="10" fontId="0" fillId="0" borderId="0" xfId="2" applyNumberFormat="1" applyFont="1" applyFill="1" applyBorder="1" applyAlignment="1">
      <alignment horizontal="right" vertical="top"/>
    </xf>
    <xf numFmtId="9" fontId="0" fillId="0" borderId="2" xfId="0" applyNumberFormat="1" applyBorder="1" applyAlignment="1">
      <alignment horizontal="right" vertical="top"/>
    </xf>
    <xf numFmtId="0" fontId="7" fillId="0" borderId="0" xfId="0" applyFont="1" applyAlignment="1">
      <alignment horizontal="left" vertical="top"/>
    </xf>
    <xf numFmtId="164" fontId="3" fillId="0" borderId="0" xfId="0" applyNumberFormat="1" applyFont="1" applyAlignment="1">
      <alignment horizontal="left" vertical="top"/>
    </xf>
    <xf numFmtId="0" fontId="5" fillId="0" borderId="0" xfId="0" applyFont="1"/>
    <xf numFmtId="9" fontId="0" fillId="0" borderId="0" xfId="0" applyNumberFormat="1" applyAlignment="1">
      <alignment horizontal="right" vertical="top"/>
    </xf>
    <xf numFmtId="0" fontId="4" fillId="2" borderId="0" xfId="0" applyFont="1" applyFill="1"/>
    <xf numFmtId="3" fontId="0" fillId="0" borderId="0" xfId="0" applyNumberFormat="1" applyAlignment="1">
      <alignment horizontal="right"/>
    </xf>
    <xf numFmtId="164" fontId="0" fillId="0" borderId="0" xfId="1" applyNumberFormat="1" applyFont="1" applyBorder="1"/>
    <xf numFmtId="0" fontId="5" fillId="0" borderId="0" xfId="0" applyFont="1" applyAlignment="1">
      <alignment horizontal="right"/>
    </xf>
    <xf numFmtId="9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vertical="top"/>
    </xf>
    <xf numFmtId="164" fontId="6" fillId="0" borderId="0" xfId="0" applyNumberFormat="1" applyFont="1" applyAlignment="1">
      <alignment horizontal="left" vertical="top"/>
    </xf>
    <xf numFmtId="164" fontId="0" fillId="0" borderId="0" xfId="0" applyNumberFormat="1" applyAlignment="1">
      <alignment horizontal="left" vertical="top"/>
    </xf>
    <xf numFmtId="43" fontId="0" fillId="0" borderId="0" xfId="0" applyNumberFormat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9" fontId="0" fillId="0" borderId="8" xfId="0" applyNumberFormat="1" applyBorder="1" applyAlignment="1">
      <alignment horizontal="right" vertical="top"/>
    </xf>
    <xf numFmtId="9" fontId="0" fillId="0" borderId="9" xfId="0" applyNumberFormat="1" applyBorder="1" applyAlignment="1">
      <alignment horizontal="right" vertical="top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164" fontId="7" fillId="0" borderId="4" xfId="1" applyNumberFormat="1" applyFont="1" applyBorder="1" applyAlignment="1">
      <alignment horizontal="left" vertical="top"/>
    </xf>
    <xf numFmtId="164" fontId="7" fillId="0" borderId="11" xfId="1" applyNumberFormat="1" applyFont="1" applyBorder="1" applyAlignment="1">
      <alignment horizontal="left" vertical="top"/>
    </xf>
    <xf numFmtId="10" fontId="8" fillId="0" borderId="5" xfId="2" applyNumberFormat="1" applyFont="1" applyBorder="1"/>
    <xf numFmtId="10" fontId="8" fillId="0" borderId="0" xfId="2" applyNumberFormat="1" applyFont="1" applyBorder="1"/>
    <xf numFmtId="164" fontId="7" fillId="0" borderId="9" xfId="0" applyNumberFormat="1" applyFont="1" applyBorder="1" applyAlignment="1">
      <alignment horizontal="left" vertical="top"/>
    </xf>
    <xf numFmtId="164" fontId="3" fillId="0" borderId="9" xfId="1" applyNumberFormat="1" applyFont="1" applyFill="1" applyBorder="1" applyAlignment="1">
      <alignment horizontal="left" vertical="top"/>
    </xf>
    <xf numFmtId="10" fontId="0" fillId="0" borderId="9" xfId="2" applyNumberFormat="1" applyFont="1" applyFill="1" applyBorder="1" applyAlignment="1">
      <alignment horizontal="right" vertical="top"/>
    </xf>
    <xf numFmtId="164" fontId="0" fillId="0" borderId="1" xfId="0" applyNumberFormat="1" applyBorder="1" applyAlignment="1">
      <alignment horizontal="left" vertical="top"/>
    </xf>
    <xf numFmtId="10" fontId="1" fillId="0" borderId="8" xfId="2" applyNumberFormat="1" applyFont="1" applyFill="1" applyBorder="1" applyAlignment="1">
      <alignment horizontal="right" vertical="top"/>
    </xf>
    <xf numFmtId="164" fontId="7" fillId="0" borderId="13" xfId="1" applyNumberFormat="1" applyFont="1" applyBorder="1" applyAlignment="1">
      <alignment horizontal="left" vertical="top"/>
    </xf>
    <xf numFmtId="164" fontId="0" fillId="0" borderId="14" xfId="1" applyNumberFormat="1" applyFont="1" applyFill="1" applyBorder="1" applyAlignment="1">
      <alignment horizontal="left" vertical="top"/>
    </xf>
    <xf numFmtId="164" fontId="3" fillId="0" borderId="14" xfId="1" applyNumberFormat="1" applyFont="1" applyFill="1" applyBorder="1" applyAlignment="1">
      <alignment horizontal="left" vertical="top"/>
    </xf>
    <xf numFmtId="164" fontId="3" fillId="0" borderId="14" xfId="0" applyNumberFormat="1" applyFont="1" applyBorder="1" applyAlignment="1">
      <alignment horizontal="left" vertical="top"/>
    </xf>
    <xf numFmtId="10" fontId="0" fillId="0" borderId="14" xfId="2" applyNumberFormat="1" applyFont="1" applyFill="1" applyBorder="1" applyAlignment="1">
      <alignment horizontal="right" vertical="top"/>
    </xf>
    <xf numFmtId="3" fontId="0" fillId="0" borderId="0" xfId="0" applyNumberFormat="1" applyAlignment="1">
      <alignment horizontal="left" vertical="top"/>
    </xf>
    <xf numFmtId="10" fontId="0" fillId="0" borderId="0" xfId="0" applyNumberFormat="1" applyAlignment="1">
      <alignment horizontal="right" vertical="top"/>
    </xf>
    <xf numFmtId="9" fontId="0" fillId="0" borderId="0" xfId="0" applyNumberFormat="1"/>
    <xf numFmtId="1" fontId="0" fillId="0" borderId="0" xfId="0" applyNumberFormat="1"/>
    <xf numFmtId="0" fontId="0" fillId="0" borderId="1" xfId="0" applyBorder="1"/>
    <xf numFmtId="164" fontId="0" fillId="0" borderId="0" xfId="1" applyNumberFormat="1" applyFont="1" applyBorder="1" applyAlignment="1">
      <alignment horizontal="right" vertical="top"/>
    </xf>
    <xf numFmtId="0" fontId="0" fillId="0" borderId="3" xfId="0" applyBorder="1"/>
    <xf numFmtId="0" fontId="0" fillId="0" borderId="6" xfId="0" applyBorder="1"/>
    <xf numFmtId="0" fontId="0" fillId="0" borderId="7" xfId="0" applyBorder="1"/>
    <xf numFmtId="164" fontId="1" fillId="0" borderId="0" xfId="1" applyNumberFormat="1" applyFont="1" applyBorder="1" applyAlignment="1">
      <alignment horizontal="right"/>
    </xf>
    <xf numFmtId="164" fontId="1" fillId="0" borderId="0" xfId="1" applyNumberFormat="1" applyFont="1" applyBorder="1"/>
    <xf numFmtId="0" fontId="0" fillId="0" borderId="14" xfId="0" applyBorder="1" applyAlignment="1">
      <alignment horizontal="right" vertical="top"/>
    </xf>
    <xf numFmtId="9" fontId="0" fillId="0" borderId="12" xfId="2" applyFont="1" applyFill="1" applyBorder="1" applyAlignment="1">
      <alignment horizontal="right" vertical="top"/>
    </xf>
    <xf numFmtId="164" fontId="3" fillId="0" borderId="12" xfId="1" applyNumberFormat="1" applyFont="1" applyFill="1" applyBorder="1" applyAlignment="1">
      <alignment horizontal="left" vertical="top"/>
    </xf>
    <xf numFmtId="164" fontId="0" fillId="0" borderId="15" xfId="0" applyNumberFormat="1" applyBorder="1" applyAlignment="1">
      <alignment horizontal="left" vertical="top"/>
    </xf>
    <xf numFmtId="0" fontId="0" fillId="0" borderId="14" xfId="0" applyBorder="1"/>
    <xf numFmtId="164" fontId="0" fillId="0" borderId="14" xfId="0" applyNumberFormat="1" applyBorder="1" applyAlignment="1">
      <alignment horizontal="left" vertical="top"/>
    </xf>
    <xf numFmtId="10" fontId="4" fillId="2" borderId="12" xfId="2" applyNumberFormat="1" applyFont="1" applyFill="1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43" fontId="0" fillId="0" borderId="15" xfId="0" applyNumberForma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10" fontId="1" fillId="0" borderId="8" xfId="2" applyNumberFormat="1" applyFont="1" applyFill="1" applyBorder="1" applyAlignment="1"/>
    <xf numFmtId="10" fontId="2" fillId="2" borderId="12" xfId="2" applyNumberFormat="1" applyFont="1" applyFill="1" applyBorder="1" applyAlignment="1"/>
    <xf numFmtId="10" fontId="1" fillId="0" borderId="9" xfId="2" applyNumberFormat="1" applyFont="1" applyFill="1" applyBorder="1" applyAlignment="1"/>
    <xf numFmtId="9" fontId="0" fillId="0" borderId="0" xfId="0" applyNumberFormat="1" applyAlignment="1">
      <alignment horizontal="left" vertical="top"/>
    </xf>
    <xf numFmtId="0" fontId="0" fillId="0" borderId="0" xfId="0" applyAlignment="1">
      <alignment horizontal="left"/>
    </xf>
    <xf numFmtId="9" fontId="0" fillId="0" borderId="0" xfId="0" applyNumberFormat="1" applyAlignment="1">
      <alignment horizontal="right"/>
    </xf>
    <xf numFmtId="0" fontId="0" fillId="0" borderId="10" xfId="0" applyBorder="1"/>
    <xf numFmtId="0" fontId="0" fillId="0" borderId="9" xfId="0" applyBorder="1" applyAlignment="1">
      <alignment horizontal="right"/>
    </xf>
    <xf numFmtId="164" fontId="9" fillId="0" borderId="0" xfId="1" applyNumberFormat="1" applyFont="1"/>
    <xf numFmtId="10" fontId="0" fillId="0" borderId="0" xfId="0" applyNumberFormat="1"/>
    <xf numFmtId="164" fontId="0" fillId="0" borderId="0" xfId="0" applyNumberFormat="1"/>
    <xf numFmtId="9" fontId="6" fillId="0" borderId="5" xfId="0" applyNumberFormat="1" applyFont="1" applyBorder="1" applyAlignment="1">
      <alignment horizontal="right" vertical="top"/>
    </xf>
    <xf numFmtId="0" fontId="0" fillId="0" borderId="9" xfId="0" applyBorder="1"/>
    <xf numFmtId="0" fontId="0" fillId="0" borderId="10" xfId="0" applyBorder="1" applyAlignment="1">
      <alignment horizontal="left" vertical="top"/>
    </xf>
    <xf numFmtId="0" fontId="0" fillId="0" borderId="8" xfId="0" applyBorder="1"/>
    <xf numFmtId="164" fontId="12" fillId="0" borderId="0" xfId="0" applyNumberFormat="1" applyFont="1"/>
    <xf numFmtId="164" fontId="0" fillId="0" borderId="0" xfId="1" applyNumberFormat="1" applyFont="1"/>
    <xf numFmtId="9" fontId="6" fillId="0" borderId="0" xfId="0" applyNumberFormat="1" applyFont="1" applyAlignment="1">
      <alignment horizontal="left" vertical="top"/>
    </xf>
    <xf numFmtId="164" fontId="12" fillId="0" borderId="0" xfId="1" applyNumberFormat="1" applyFont="1"/>
    <xf numFmtId="9" fontId="13" fillId="0" borderId="0" xfId="0" applyNumberFormat="1" applyFont="1" applyAlignment="1">
      <alignment horizontal="right"/>
    </xf>
    <xf numFmtId="9" fontId="13" fillId="0" borderId="0" xfId="0" applyNumberFormat="1" applyFont="1"/>
    <xf numFmtId="164" fontId="12" fillId="0" borderId="0" xfId="0" applyNumberFormat="1" applyFont="1" applyAlignment="1">
      <alignment horizontal="left" vertical="top"/>
    </xf>
    <xf numFmtId="164" fontId="12" fillId="0" borderId="14" xfId="0" applyNumberFormat="1" applyFont="1" applyBorder="1" applyAlignment="1">
      <alignment horizontal="left" vertical="top"/>
    </xf>
    <xf numFmtId="164" fontId="12" fillId="0" borderId="0" xfId="1" applyNumberFormat="1" applyFont="1" applyFill="1" applyBorder="1" applyAlignment="1">
      <alignment horizontal="left" vertical="top"/>
    </xf>
    <xf numFmtId="164" fontId="0" fillId="0" borderId="0" xfId="1" applyNumberFormat="1" applyFont="1" applyBorder="1" applyAlignment="1">
      <alignment horizontal="right"/>
    </xf>
    <xf numFmtId="164" fontId="5" fillId="0" borderId="0" xfId="1" applyNumberFormat="1" applyFont="1" applyBorder="1"/>
    <xf numFmtId="9" fontId="5" fillId="0" borderId="0" xfId="0" applyNumberFormat="1" applyFont="1"/>
    <xf numFmtId="10" fontId="5" fillId="0" borderId="0" xfId="0" applyNumberFormat="1" applyFo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 horizontal="right"/>
    </xf>
    <xf numFmtId="43" fontId="0" fillId="0" borderId="0" xfId="1" applyFont="1"/>
    <xf numFmtId="164" fontId="9" fillId="0" borderId="13" xfId="1" applyNumberFormat="1" applyFont="1" applyBorder="1" applyAlignment="1">
      <alignment horizontal="right"/>
    </xf>
    <xf numFmtId="0" fontId="3" fillId="0" borderId="10" xfId="0" applyFont="1" applyBorder="1"/>
    <xf numFmtId="0" fontId="13" fillId="0" borderId="0" xfId="0" applyFont="1"/>
    <xf numFmtId="164" fontId="13" fillId="0" borderId="11" xfId="1" applyNumberFormat="1" applyFont="1" applyBorder="1" applyAlignment="1">
      <alignment horizontal="right"/>
    </xf>
    <xf numFmtId="164" fontId="13" fillId="0" borderId="0" xfId="1" applyNumberFormat="1" applyFont="1" applyBorder="1" applyAlignment="1">
      <alignment horizontal="right"/>
    </xf>
    <xf numFmtId="164" fontId="13" fillId="0" borderId="0" xfId="1" applyNumberFormat="1" applyFont="1" applyBorder="1"/>
    <xf numFmtId="164" fontId="13" fillId="0" borderId="1" xfId="1" applyNumberFormat="1" applyFont="1" applyBorder="1"/>
    <xf numFmtId="0" fontId="13" fillId="0" borderId="8" xfId="0" applyFont="1" applyBorder="1" applyAlignment="1">
      <alignment horizontal="right"/>
    </xf>
    <xf numFmtId="0" fontId="13" fillId="0" borderId="0" xfId="0" applyFont="1" applyAlignment="1">
      <alignment horizontal="right"/>
    </xf>
    <xf numFmtId="0" fontId="13" fillId="0" borderId="1" xfId="0" applyFont="1" applyBorder="1"/>
    <xf numFmtId="164" fontId="9" fillId="0" borderId="14" xfId="1" applyNumberFormat="1" applyFont="1" applyBorder="1" applyAlignment="1">
      <alignment horizontal="right"/>
    </xf>
    <xf numFmtId="164" fontId="9" fillId="0" borderId="15" xfId="1" applyNumberFormat="1" applyFont="1" applyBorder="1" applyAlignment="1">
      <alignment horizontal="right"/>
    </xf>
    <xf numFmtId="0" fontId="14" fillId="0" borderId="11" xfId="0" applyFont="1" applyBorder="1" applyAlignment="1">
      <alignment horizontal="right"/>
    </xf>
    <xf numFmtId="0" fontId="14" fillId="0" borderId="4" xfId="0" applyFont="1" applyBorder="1" applyAlignment="1">
      <alignment horizontal="right"/>
    </xf>
    <xf numFmtId="0" fontId="13" fillId="0" borderId="9" xfId="0" applyFont="1" applyBorder="1"/>
    <xf numFmtId="0" fontId="13" fillId="0" borderId="11" xfId="0" applyFont="1" applyBorder="1" applyAlignment="1">
      <alignment horizontal="right"/>
    </xf>
    <xf numFmtId="0" fontId="13" fillId="0" borderId="4" xfId="0" applyFont="1" applyBorder="1"/>
    <xf numFmtId="0" fontId="13" fillId="0" borderId="5" xfId="0" applyFont="1" applyBorder="1"/>
    <xf numFmtId="0" fontId="13" fillId="0" borderId="2" xfId="0" applyFont="1" applyBorder="1"/>
    <xf numFmtId="164" fontId="3" fillId="0" borderId="0" xfId="1" applyNumberFormat="1" applyFont="1" applyAlignment="1">
      <alignment horizontal="right"/>
    </xf>
    <xf numFmtId="164" fontId="3" fillId="0" borderId="0" xfId="1" applyNumberFormat="1" applyFont="1" applyBorder="1" applyAlignment="1">
      <alignment horizontal="right"/>
    </xf>
    <xf numFmtId="10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/>
    </xf>
    <xf numFmtId="10" fontId="14" fillId="0" borderId="0" xfId="0" applyNumberFormat="1" applyFont="1" applyAlignment="1">
      <alignment horizontal="right" vertical="top"/>
    </xf>
    <xf numFmtId="164" fontId="3" fillId="0" borderId="0" xfId="1" applyNumberFormat="1" applyFont="1" applyAlignment="1">
      <alignment horizontal="right" vertical="center"/>
    </xf>
    <xf numFmtId="0" fontId="13" fillId="0" borderId="11" xfId="0" applyFont="1" applyBorder="1"/>
    <xf numFmtId="0" fontId="13" fillId="0" borderId="8" xfId="0" applyFont="1" applyBorder="1"/>
    <xf numFmtId="0" fontId="14" fillId="0" borderId="0" xfId="0" applyFont="1" applyAlignment="1">
      <alignment horizontal="right"/>
    </xf>
    <xf numFmtId="1" fontId="0" fillId="0" borderId="0" xfId="1" applyNumberFormat="1" applyFont="1"/>
    <xf numFmtId="164" fontId="13" fillId="0" borderId="4" xfId="1" applyNumberFormat="1" applyFont="1" applyBorder="1"/>
    <xf numFmtId="164" fontId="9" fillId="0" borderId="0" xfId="1" applyNumberFormat="1" applyFont="1" applyBorder="1"/>
    <xf numFmtId="164" fontId="13" fillId="0" borderId="5" xfId="1" applyNumberFormat="1" applyFont="1" applyBorder="1"/>
    <xf numFmtId="164" fontId="1" fillId="0" borderId="5" xfId="1" applyNumberFormat="1" applyFont="1" applyBorder="1"/>
    <xf numFmtId="164" fontId="1" fillId="0" borderId="2" xfId="1" applyNumberFormat="1" applyFont="1" applyBorder="1"/>
    <xf numFmtId="9" fontId="13" fillId="0" borderId="4" xfId="0" applyNumberFormat="1" applyFont="1" applyBorder="1"/>
    <xf numFmtId="9" fontId="13" fillId="0" borderId="11" xfId="0" applyNumberFormat="1" applyFont="1" applyBorder="1"/>
    <xf numFmtId="9" fontId="13" fillId="0" borderId="9" xfId="0" applyNumberFormat="1" applyFont="1" applyBorder="1"/>
    <xf numFmtId="9" fontId="13" fillId="0" borderId="8" xfId="0" applyNumberFormat="1" applyFont="1" applyBorder="1"/>
    <xf numFmtId="9" fontId="9" fillId="0" borderId="0" xfId="0" applyNumberFormat="1" applyFont="1"/>
    <xf numFmtId="10" fontId="13" fillId="0" borderId="5" xfId="0" applyNumberFormat="1" applyFont="1" applyBorder="1"/>
    <xf numFmtId="10" fontId="9" fillId="0" borderId="0" xfId="0" applyNumberFormat="1" applyFont="1"/>
    <xf numFmtId="0" fontId="9" fillId="0" borderId="0" xfId="0" applyFont="1"/>
    <xf numFmtId="9" fontId="13" fillId="0" borderId="2" xfId="0" applyNumberFormat="1" applyFont="1" applyBorder="1"/>
    <xf numFmtId="10" fontId="13" fillId="0" borderId="4" xfId="0" applyNumberFormat="1" applyFont="1" applyBorder="1"/>
    <xf numFmtId="10" fontId="13" fillId="0" borderId="2" xfId="0" applyNumberFormat="1" applyFont="1" applyBorder="1"/>
    <xf numFmtId="0" fontId="0" fillId="0" borderId="13" xfId="0" applyBorder="1" applyAlignment="1">
      <alignment horizontal="right"/>
    </xf>
    <xf numFmtId="165" fontId="13" fillId="0" borderId="4" xfId="0" applyNumberFormat="1" applyFont="1" applyBorder="1"/>
    <xf numFmtId="10" fontId="8" fillId="0" borderId="15" xfId="2" applyNumberFormat="1" applyFont="1" applyBorder="1"/>
    <xf numFmtId="164" fontId="12" fillId="0" borderId="14" xfId="1" applyNumberFormat="1" applyFont="1" applyFill="1" applyBorder="1" applyAlignment="1">
      <alignment horizontal="left" vertical="top"/>
    </xf>
    <xf numFmtId="164" fontId="13" fillId="0" borderId="8" xfId="1" applyNumberFormat="1" applyFont="1" applyBorder="1" applyAlignment="1">
      <alignment horizontal="right"/>
    </xf>
    <xf numFmtId="164" fontId="3" fillId="0" borderId="13" xfId="1" applyNumberFormat="1" applyFont="1" applyBorder="1" applyAlignment="1">
      <alignment horizontal="right"/>
    </xf>
    <xf numFmtId="164" fontId="0" fillId="0" borderId="12" xfId="1" applyNumberFormat="1" applyFont="1" applyBorder="1" applyAlignment="1">
      <alignment horizontal="right"/>
    </xf>
    <xf numFmtId="164" fontId="3" fillId="0" borderId="15" xfId="1" applyNumberFormat="1" applyFont="1" applyBorder="1"/>
    <xf numFmtId="43" fontId="0" fillId="0" borderId="0" xfId="0" applyNumberFormat="1"/>
    <xf numFmtId="164" fontId="0" fillId="0" borderId="14" xfId="1" applyNumberFormat="1" applyFont="1" applyBorder="1"/>
    <xf numFmtId="9" fontId="13" fillId="0" borderId="10" xfId="0" applyNumberFormat="1" applyFont="1" applyBorder="1" applyAlignment="1">
      <alignment horizontal="right"/>
    </xf>
    <xf numFmtId="9" fontId="13" fillId="0" borderId="9" xfId="0" applyNumberFormat="1" applyFont="1" applyBorder="1" applyAlignment="1">
      <alignment horizontal="right"/>
    </xf>
    <xf numFmtId="10" fontId="13" fillId="0" borderId="9" xfId="0" applyNumberFormat="1" applyFont="1" applyBorder="1"/>
    <xf numFmtId="9" fontId="0" fillId="0" borderId="10" xfId="0" applyNumberFormat="1" applyBorder="1"/>
    <xf numFmtId="164" fontId="7" fillId="0" borderId="5" xfId="1" applyNumberFormat="1" applyFont="1" applyBorder="1" applyAlignment="1">
      <alignment horizontal="left" vertical="top"/>
    </xf>
    <xf numFmtId="164" fontId="7" fillId="0" borderId="0" xfId="1" applyNumberFormat="1" applyFont="1" applyBorder="1" applyAlignment="1">
      <alignment horizontal="left" vertical="top"/>
    </xf>
    <xf numFmtId="164" fontId="7" fillId="0" borderId="14" xfId="1" applyNumberFormat="1" applyFont="1" applyBorder="1" applyAlignment="1">
      <alignment horizontal="left" vertical="top"/>
    </xf>
    <xf numFmtId="0" fontId="7" fillId="0" borderId="1" xfId="0" applyFont="1" applyBorder="1" applyAlignment="1">
      <alignment horizontal="left" vertical="top"/>
    </xf>
    <xf numFmtId="164" fontId="6" fillId="0" borderId="1" xfId="1" applyNumberFormat="1" applyFont="1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9" fontId="0" fillId="0" borderId="10" xfId="0" applyNumberFormat="1" applyBorder="1" applyAlignment="1">
      <alignment horizontal="right" vertical="top"/>
    </xf>
    <xf numFmtId="164" fontId="7" fillId="0" borderId="3" xfId="1" applyNumberFormat="1" applyFont="1" applyBorder="1" applyAlignment="1">
      <alignment horizontal="left" vertical="top"/>
    </xf>
    <xf numFmtId="164" fontId="7" fillId="0" borderId="6" xfId="1" applyNumberFormat="1" applyFont="1" applyBorder="1" applyAlignment="1">
      <alignment horizontal="left" vertical="top"/>
    </xf>
    <xf numFmtId="9" fontId="0" fillId="0" borderId="9" xfId="2" applyFont="1" applyFill="1" applyBorder="1" applyAlignment="1">
      <alignment horizontal="right" vertical="top"/>
    </xf>
    <xf numFmtId="164" fontId="3" fillId="0" borderId="10" xfId="1" applyNumberFormat="1" applyFont="1" applyFill="1" applyBorder="1" applyAlignment="1">
      <alignment horizontal="left" vertical="top"/>
    </xf>
    <xf numFmtId="164" fontId="0" fillId="0" borderId="7" xfId="1" applyNumberFormat="1" applyFont="1" applyFill="1" applyBorder="1" applyAlignment="1">
      <alignment horizontal="right" vertical="top"/>
    </xf>
    <xf numFmtId="164" fontId="0" fillId="0" borderId="2" xfId="1" applyNumberFormat="1" applyFont="1" applyFill="1" applyBorder="1" applyAlignment="1">
      <alignment horizontal="right" vertical="top"/>
    </xf>
    <xf numFmtId="164" fontId="0" fillId="0" borderId="15" xfId="1" applyNumberFormat="1" applyFont="1" applyFill="1" applyBorder="1" applyAlignment="1">
      <alignment horizontal="right" vertical="top"/>
    </xf>
    <xf numFmtId="164" fontId="0" fillId="0" borderId="1" xfId="1" applyNumberFormat="1" applyFont="1" applyFill="1" applyBorder="1" applyAlignment="1">
      <alignment horizontal="right" vertical="top"/>
    </xf>
    <xf numFmtId="164" fontId="7" fillId="0" borderId="8" xfId="0" applyNumberFormat="1" applyFont="1" applyBorder="1" applyAlignment="1">
      <alignment horizontal="left" vertical="top"/>
    </xf>
    <xf numFmtId="10" fontId="8" fillId="0" borderId="6" xfId="2" applyNumberFormat="1" applyFont="1" applyBorder="1"/>
    <xf numFmtId="164" fontId="7" fillId="0" borderId="10" xfId="0" applyNumberFormat="1" applyFont="1" applyBorder="1" applyAlignment="1">
      <alignment horizontal="left" vertical="top"/>
    </xf>
    <xf numFmtId="10" fontId="8" fillId="0" borderId="14" xfId="2" applyNumberFormat="1" applyFont="1" applyBorder="1"/>
    <xf numFmtId="164" fontId="7" fillId="0" borderId="12" xfId="0" applyNumberFormat="1" applyFont="1" applyBorder="1" applyAlignment="1">
      <alignment horizontal="left" vertical="top"/>
    </xf>
    <xf numFmtId="9" fontId="0" fillId="0" borderId="1" xfId="0" applyNumberFormat="1" applyBorder="1" applyAlignment="1">
      <alignment horizontal="right" vertical="top"/>
    </xf>
    <xf numFmtId="9" fontId="7" fillId="0" borderId="0" xfId="0" applyNumberFormat="1" applyFont="1" applyAlignment="1">
      <alignment horizontal="right" vertical="top"/>
    </xf>
    <xf numFmtId="164" fontId="3" fillId="0" borderId="6" xfId="0" applyNumberFormat="1" applyFont="1" applyBorder="1" applyAlignment="1">
      <alignment horizontal="left" vertical="top"/>
    </xf>
    <xf numFmtId="164" fontId="3" fillId="0" borderId="5" xfId="0" applyNumberFormat="1" applyFont="1" applyBorder="1" applyAlignment="1">
      <alignment horizontal="left" vertical="top"/>
    </xf>
    <xf numFmtId="9" fontId="0" fillId="0" borderId="5" xfId="0" applyNumberFormat="1" applyBorder="1" applyAlignment="1">
      <alignment horizontal="right" vertical="top"/>
    </xf>
    <xf numFmtId="164" fontId="0" fillId="0" borderId="6" xfId="0" applyNumberFormat="1" applyBorder="1" applyAlignment="1">
      <alignment horizontal="left" vertical="top"/>
    </xf>
    <xf numFmtId="164" fontId="0" fillId="0" borderId="5" xfId="0" applyNumberFormat="1" applyBorder="1" applyAlignment="1">
      <alignment horizontal="left" vertical="top"/>
    </xf>
    <xf numFmtId="10" fontId="1" fillId="0" borderId="7" xfId="2" applyNumberFormat="1" applyFont="1" applyFill="1" applyBorder="1" applyAlignment="1"/>
    <xf numFmtId="10" fontId="1" fillId="0" borderId="2" xfId="2" applyNumberFormat="1" applyFont="1" applyFill="1" applyBorder="1" applyAlignment="1"/>
    <xf numFmtId="164" fontId="3" fillId="0" borderId="3" xfId="0" applyNumberFormat="1" applyFont="1" applyBorder="1" applyAlignment="1">
      <alignment horizontal="left" vertical="top"/>
    </xf>
    <xf numFmtId="164" fontId="3" fillId="0" borderId="4" xfId="0" applyNumberFormat="1" applyFont="1" applyBorder="1" applyAlignment="1">
      <alignment horizontal="left" vertical="top"/>
    </xf>
    <xf numFmtId="164" fontId="3" fillId="0" borderId="7" xfId="0" applyNumberFormat="1" applyFont="1" applyBorder="1" applyAlignment="1">
      <alignment horizontal="left" vertical="top"/>
    </xf>
    <xf numFmtId="164" fontId="3" fillId="0" borderId="2" xfId="0" applyNumberFormat="1" applyFont="1" applyBorder="1" applyAlignment="1">
      <alignment horizontal="left" vertical="top"/>
    </xf>
    <xf numFmtId="10" fontId="0" fillId="0" borderId="0" xfId="0" applyNumberFormat="1" applyAlignment="1">
      <alignment horizontal="right"/>
    </xf>
    <xf numFmtId="8" fontId="0" fillId="0" borderId="0" xfId="0" applyNumberFormat="1"/>
    <xf numFmtId="164" fontId="13" fillId="0" borderId="9" xfId="1" applyNumberFormat="1" applyFont="1" applyBorder="1"/>
    <xf numFmtId="164" fontId="6" fillId="0" borderId="6" xfId="0" applyNumberFormat="1" applyFont="1" applyBorder="1" applyAlignment="1">
      <alignment horizontal="left" vertical="top"/>
    </xf>
    <xf numFmtId="164" fontId="6" fillId="0" borderId="4" xfId="0" applyNumberFormat="1" applyFont="1" applyBorder="1" applyAlignment="1">
      <alignment horizontal="left" vertical="top"/>
    </xf>
    <xf numFmtId="164" fontId="0" fillId="0" borderId="5" xfId="1" applyNumberFormat="1" applyFont="1" applyBorder="1"/>
    <xf numFmtId="164" fontId="6" fillId="0" borderId="11" xfId="0" applyNumberFormat="1" applyFont="1" applyBorder="1" applyAlignment="1">
      <alignment horizontal="left" vertical="top"/>
    </xf>
    <xf numFmtId="164" fontId="0" fillId="0" borderId="6" xfId="1" applyNumberFormat="1" applyFont="1" applyBorder="1"/>
    <xf numFmtId="0" fontId="6" fillId="0" borderId="4" xfId="0" applyFont="1" applyBorder="1" applyAlignment="1">
      <alignment horizontal="left" vertical="top"/>
    </xf>
    <xf numFmtId="9" fontId="13" fillId="0" borderId="11" xfId="0" applyNumberFormat="1" applyFont="1" applyBorder="1" applyAlignment="1">
      <alignment horizontal="right"/>
    </xf>
    <xf numFmtId="9" fontId="13" fillId="0" borderId="4" xfId="0" applyNumberFormat="1" applyFont="1" applyBorder="1" applyAlignment="1">
      <alignment horizontal="right"/>
    </xf>
    <xf numFmtId="9" fontId="0" fillId="0" borderId="0" xfId="2" applyFont="1"/>
    <xf numFmtId="164" fontId="6" fillId="0" borderId="13" xfId="0" applyNumberFormat="1" applyFont="1" applyBorder="1" applyAlignment="1">
      <alignment horizontal="left" vertical="top"/>
    </xf>
    <xf numFmtId="3" fontId="0" fillId="0" borderId="0" xfId="0" applyNumberFormat="1"/>
    <xf numFmtId="10" fontId="0" fillId="0" borderId="0" xfId="2" applyNumberFormat="1" applyFont="1" applyFill="1"/>
    <xf numFmtId="164" fontId="0" fillId="0" borderId="0" xfId="1" applyNumberFormat="1" applyFont="1" applyFill="1"/>
    <xf numFmtId="166" fontId="0" fillId="0" borderId="0" xfId="0" applyNumberFormat="1"/>
    <xf numFmtId="164" fontId="9" fillId="0" borderId="0" xfId="0" applyNumberFormat="1" applyFont="1"/>
    <xf numFmtId="43" fontId="13" fillId="0" borderId="0" xfId="1" applyFont="1" applyAlignment="1">
      <alignment horizontal="right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432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5191C-437C-B94A-BF8B-0B22428A7BBE}">
  <dimension ref="A6:L47"/>
  <sheetViews>
    <sheetView tabSelected="1" zoomScale="110" zoomScaleNormal="110" workbookViewId="0">
      <selection activeCell="C19" sqref="C19"/>
    </sheetView>
  </sheetViews>
  <sheetFormatPr baseColWidth="10" defaultRowHeight="16" x14ac:dyDescent="0.2"/>
  <cols>
    <col min="1" max="1" width="18.83203125" customWidth="1"/>
    <col min="2" max="2" width="23.1640625" customWidth="1"/>
    <col min="3" max="3" width="14.33203125" bestFit="1" customWidth="1"/>
    <col min="4" max="6" width="13" customWidth="1"/>
    <col min="7" max="7" width="11" bestFit="1" customWidth="1"/>
    <col min="8" max="8" width="13.1640625" bestFit="1" customWidth="1"/>
    <col min="9" max="9" width="12.6640625" customWidth="1"/>
    <col min="10" max="10" width="11" bestFit="1" customWidth="1"/>
    <col min="11" max="11" width="13.1640625" bestFit="1" customWidth="1"/>
  </cols>
  <sheetData>
    <row r="6" spans="1:11" x14ac:dyDescent="0.2">
      <c r="B6" s="102" t="s">
        <v>37</v>
      </c>
      <c r="C6" s="133" t="s">
        <v>64</v>
      </c>
      <c r="D6" s="133" t="s">
        <v>78</v>
      </c>
      <c r="E6" s="133" t="s">
        <v>77</v>
      </c>
      <c r="F6" s="133" t="s">
        <v>79</v>
      </c>
      <c r="G6" s="104" t="s">
        <v>59</v>
      </c>
      <c r="H6" s="103" t="s">
        <v>39</v>
      </c>
      <c r="I6" s="103" t="s">
        <v>34</v>
      </c>
      <c r="J6" s="103" t="s">
        <v>38</v>
      </c>
      <c r="K6" s="103" t="s">
        <v>40</v>
      </c>
    </row>
    <row r="7" spans="1:11" x14ac:dyDescent="0.2">
      <c r="A7" s="59" t="s">
        <v>44</v>
      </c>
      <c r="B7" s="131"/>
      <c r="C7" s="121">
        <v>0</v>
      </c>
      <c r="D7" s="121">
        <v>0</v>
      </c>
      <c r="E7" s="121">
        <v>12</v>
      </c>
      <c r="F7" s="121">
        <v>20</v>
      </c>
      <c r="G7" s="156">
        <f>SUM(C7:F7)</f>
        <v>32</v>
      </c>
      <c r="H7" s="118"/>
      <c r="I7" s="118"/>
      <c r="J7" s="118"/>
      <c r="K7" s="119"/>
    </row>
    <row r="8" spans="1:11" x14ac:dyDescent="0.2">
      <c r="A8" s="80" t="s">
        <v>66</v>
      </c>
      <c r="B8" s="132"/>
      <c r="C8" s="155">
        <v>0</v>
      </c>
      <c r="D8" s="155">
        <v>0</v>
      </c>
      <c r="E8" s="155">
        <v>620</v>
      </c>
      <c r="F8" s="155">
        <v>750</v>
      </c>
      <c r="G8" s="157">
        <f>SUMPRODUCT(C7:F7,C8:F8)/G7</f>
        <v>701.25</v>
      </c>
      <c r="H8" s="113"/>
      <c r="I8" s="113"/>
      <c r="J8" s="113"/>
      <c r="K8" s="120"/>
    </row>
    <row r="9" spans="1:11" x14ac:dyDescent="0.2">
      <c r="A9" s="59" t="s">
        <v>76</v>
      </c>
      <c r="B9" s="131"/>
      <c r="C9" s="109">
        <v>0</v>
      </c>
      <c r="D9" s="109">
        <v>0</v>
      </c>
      <c r="E9" s="109">
        <v>800</v>
      </c>
      <c r="F9" s="109">
        <v>900</v>
      </c>
      <c r="G9" s="106"/>
      <c r="H9" s="121"/>
      <c r="I9" s="121"/>
      <c r="J9" s="121"/>
      <c r="K9" s="122"/>
    </row>
    <row r="10" spans="1:11" x14ac:dyDescent="0.2">
      <c r="A10" s="60"/>
      <c r="B10" s="108"/>
      <c r="C10" s="216"/>
      <c r="D10" s="110"/>
      <c r="E10" s="110"/>
      <c r="F10" s="110"/>
      <c r="G10" s="116"/>
      <c r="H10" s="114"/>
      <c r="I10" s="114"/>
      <c r="J10" s="114"/>
      <c r="K10" s="123"/>
    </row>
    <row r="11" spans="1:11" x14ac:dyDescent="0.2">
      <c r="A11" s="60"/>
      <c r="B11" s="108"/>
      <c r="C11" s="114"/>
      <c r="D11" s="110"/>
      <c r="E11" s="110"/>
      <c r="F11" s="110"/>
      <c r="G11" s="116"/>
      <c r="H11" s="114"/>
      <c r="I11" s="114"/>
      <c r="J11" s="114"/>
      <c r="K11" s="123"/>
    </row>
    <row r="12" spans="1:11" x14ac:dyDescent="0.2">
      <c r="A12" s="60"/>
      <c r="B12" s="108"/>
      <c r="C12" s="108"/>
      <c r="D12" s="111"/>
      <c r="E12" s="111"/>
      <c r="F12" s="111"/>
      <c r="G12" s="116"/>
      <c r="H12" s="108"/>
      <c r="I12" s="108"/>
      <c r="J12" s="114"/>
      <c r="K12" s="123"/>
    </row>
    <row r="13" spans="1:11" x14ac:dyDescent="0.2">
      <c r="A13" s="60"/>
      <c r="B13" s="108"/>
      <c r="C13" s="108"/>
      <c r="D13" s="111"/>
      <c r="E13" s="111"/>
      <c r="F13" s="111"/>
      <c r="G13" s="116"/>
      <c r="H13" s="108"/>
      <c r="I13" s="108"/>
      <c r="J13" s="108"/>
      <c r="K13" s="123"/>
    </row>
    <row r="14" spans="1:11" x14ac:dyDescent="0.2">
      <c r="A14" s="60"/>
      <c r="B14" s="108"/>
      <c r="C14" s="108"/>
      <c r="D14" s="111"/>
      <c r="E14" s="111"/>
      <c r="F14" s="111"/>
      <c r="G14" s="116"/>
      <c r="H14" s="108"/>
      <c r="I14" s="108"/>
      <c r="J14" s="108"/>
      <c r="K14" s="123"/>
    </row>
    <row r="15" spans="1:11" x14ac:dyDescent="0.2">
      <c r="A15" s="61"/>
      <c r="B15" s="115"/>
      <c r="C15" s="115"/>
      <c r="D15" s="112"/>
      <c r="E15" s="112"/>
      <c r="F15" s="112"/>
      <c r="G15" s="117"/>
      <c r="H15" s="115"/>
      <c r="I15" s="115"/>
      <c r="J15" s="115"/>
      <c r="K15" s="124"/>
    </row>
    <row r="16" spans="1:11" x14ac:dyDescent="0.2">
      <c r="B16" t="s">
        <v>35</v>
      </c>
      <c r="C16" s="90">
        <f>AVERAGE(C9:C15)</f>
        <v>0</v>
      </c>
      <c r="D16" s="90">
        <f>AVERAGE(D9:D15)</f>
        <v>0</v>
      </c>
      <c r="E16" s="90">
        <f t="shared" ref="E16:F16" si="0">AVERAGE(E9:E15)</f>
        <v>800</v>
      </c>
      <c r="F16" s="90">
        <f t="shared" si="0"/>
        <v>900</v>
      </c>
      <c r="G16" s="158">
        <f>SUMPRODUCT(C7:F7,C16:F16)/G7</f>
        <v>862.5</v>
      </c>
      <c r="H16" s="134" t="e">
        <f>AVERAGE(H9:H15)</f>
        <v>#DIV/0!</v>
      </c>
      <c r="I16" s="105" t="e">
        <f>AVERAGE(I9:I15)</f>
        <v>#DIV/0!</v>
      </c>
      <c r="J16" s="105"/>
      <c r="K16" s="105" t="e">
        <f>AVERAGE(K9:K15)</f>
        <v>#DIV/0!</v>
      </c>
    </row>
    <row r="17" spans="2:12" x14ac:dyDescent="0.2">
      <c r="G17" s="55"/>
    </row>
    <row r="18" spans="2:12" x14ac:dyDescent="0.2">
      <c r="B18" t="s">
        <v>47</v>
      </c>
      <c r="G18" s="56"/>
    </row>
    <row r="19" spans="2:12" x14ac:dyDescent="0.2">
      <c r="B19" s="59" t="s">
        <v>1</v>
      </c>
      <c r="C19" s="135">
        <v>1975000</v>
      </c>
      <c r="D19" s="136"/>
      <c r="E19" s="136"/>
      <c r="F19" s="99"/>
    </row>
    <row r="20" spans="2:12" x14ac:dyDescent="0.2">
      <c r="B20" s="60" t="s">
        <v>44</v>
      </c>
      <c r="C20" s="138">
        <f>G7</f>
        <v>32</v>
      </c>
      <c r="D20" s="136"/>
      <c r="E20" s="136"/>
      <c r="F20" s="99"/>
    </row>
    <row r="21" spans="2:12" x14ac:dyDescent="0.2">
      <c r="B21" s="60" t="s">
        <v>41</v>
      </c>
      <c r="C21" s="138">
        <f>G8</f>
        <v>701.25</v>
      </c>
      <c r="D21" s="63"/>
      <c r="E21" s="63"/>
      <c r="F21" s="25"/>
      <c r="G21" s="212"/>
      <c r="H21" s="212"/>
      <c r="J21" s="212"/>
      <c r="K21" s="212"/>
    </row>
    <row r="22" spans="2:12" x14ac:dyDescent="0.2">
      <c r="B22" s="60" t="s">
        <v>69</v>
      </c>
      <c r="C22" s="137">
        <v>50000</v>
      </c>
      <c r="D22" s="63"/>
      <c r="E22" s="63"/>
      <c r="F22" s="25"/>
      <c r="G22" s="213"/>
      <c r="H22" s="213"/>
      <c r="J22" s="213"/>
      <c r="K22" s="213"/>
    </row>
    <row r="23" spans="2:12" x14ac:dyDescent="0.2">
      <c r="B23" s="61" t="s">
        <v>28</v>
      </c>
      <c r="C23" s="139">
        <f>G16</f>
        <v>862.5</v>
      </c>
      <c r="D23" s="63"/>
      <c r="E23" s="63"/>
      <c r="F23" s="25"/>
      <c r="G23" s="213"/>
      <c r="H23" s="213"/>
      <c r="J23" s="213"/>
      <c r="K23" s="213"/>
    </row>
    <row r="24" spans="2:12" x14ac:dyDescent="0.2">
      <c r="G24" s="213"/>
      <c r="H24" s="213"/>
      <c r="J24" s="213"/>
      <c r="K24" s="213"/>
    </row>
    <row r="25" spans="2:12" x14ac:dyDescent="0.2">
      <c r="B25" t="s">
        <v>46</v>
      </c>
      <c r="C25" s="29" t="s">
        <v>45</v>
      </c>
      <c r="D25" s="29" t="s">
        <v>62</v>
      </c>
      <c r="E25" s="29" t="s">
        <v>63</v>
      </c>
      <c r="H25" s="214"/>
      <c r="I25" s="212"/>
    </row>
    <row r="26" spans="2:12" x14ac:dyDescent="0.2">
      <c r="B26" s="59" t="s">
        <v>68</v>
      </c>
      <c r="C26" s="149">
        <v>0.05</v>
      </c>
      <c r="D26" s="161">
        <v>0.1</v>
      </c>
      <c r="E26" s="162">
        <v>0.08</v>
      </c>
      <c r="H26" s="213"/>
    </row>
    <row r="27" spans="2:12" x14ac:dyDescent="0.2">
      <c r="B27" s="59" t="s">
        <v>71</v>
      </c>
      <c r="C27" s="149">
        <v>0.03</v>
      </c>
      <c r="D27" s="207">
        <v>0.01</v>
      </c>
      <c r="E27" s="208">
        <v>0.02</v>
      </c>
    </row>
    <row r="28" spans="2:12" x14ac:dyDescent="0.2">
      <c r="B28" s="59" t="s">
        <v>61</v>
      </c>
      <c r="C28" s="149">
        <v>0.04</v>
      </c>
      <c r="D28" s="141">
        <v>0.15</v>
      </c>
      <c r="E28" s="140">
        <v>0.1</v>
      </c>
      <c r="F28" s="100"/>
    </row>
    <row r="29" spans="2:12" x14ac:dyDescent="0.2">
      <c r="B29" s="107" t="s">
        <v>42</v>
      </c>
      <c r="C29" s="142">
        <v>0.5</v>
      </c>
      <c r="D29" s="143">
        <v>0.55000000000000004</v>
      </c>
      <c r="E29" s="142">
        <v>0.52</v>
      </c>
    </row>
    <row r="30" spans="2:12" x14ac:dyDescent="0.2">
      <c r="B30" s="164" t="s">
        <v>72</v>
      </c>
      <c r="C30" s="163">
        <v>3.5000000000000003E-2</v>
      </c>
    </row>
    <row r="31" spans="2:12" x14ac:dyDescent="0.2">
      <c r="B31" s="59" t="s">
        <v>74</v>
      </c>
      <c r="C31" s="149">
        <v>0.02</v>
      </c>
      <c r="D31" s="79"/>
      <c r="E31" s="79"/>
      <c r="F31" s="99"/>
    </row>
    <row r="32" spans="2:12" x14ac:dyDescent="0.2">
      <c r="B32" s="80" t="s">
        <v>73</v>
      </c>
      <c r="C32" s="200">
        <v>10000</v>
      </c>
      <c r="D32" s="136"/>
      <c r="E32" s="136"/>
      <c r="L32" s="209"/>
    </row>
    <row r="34" spans="2:9" x14ac:dyDescent="0.2">
      <c r="B34" t="s">
        <v>3</v>
      </c>
      <c r="E34" s="159"/>
      <c r="F34" s="99"/>
      <c r="H34" s="55"/>
      <c r="I34" s="55"/>
    </row>
    <row r="35" spans="2:9" x14ac:dyDescent="0.2">
      <c r="B35" s="59" t="s">
        <v>5</v>
      </c>
      <c r="C35" s="152">
        <v>0.03</v>
      </c>
      <c r="D35" s="144"/>
      <c r="E35" s="215"/>
      <c r="F35" s="99"/>
      <c r="H35" s="84"/>
      <c r="I35" s="84"/>
    </row>
    <row r="36" spans="2:9" x14ac:dyDescent="0.2">
      <c r="B36" s="60" t="s">
        <v>4</v>
      </c>
      <c r="C36" s="145">
        <v>5.8749999999999997E-2</v>
      </c>
      <c r="D36" s="146"/>
      <c r="E36" s="146"/>
      <c r="F36" s="21"/>
      <c r="H36" s="84"/>
      <c r="I36" s="84"/>
    </row>
    <row r="37" spans="2:9" x14ac:dyDescent="0.2">
      <c r="B37" s="60" t="s">
        <v>10</v>
      </c>
      <c r="C37" s="123">
        <v>30</v>
      </c>
      <c r="D37" s="147"/>
      <c r="E37" s="147"/>
      <c r="F37" s="21"/>
      <c r="H37" s="84"/>
      <c r="I37" s="84"/>
    </row>
    <row r="38" spans="2:9" x14ac:dyDescent="0.2">
      <c r="B38" s="60" t="s">
        <v>67</v>
      </c>
      <c r="C38" s="145">
        <v>0</v>
      </c>
      <c r="D38" s="147"/>
      <c r="E38" s="147"/>
      <c r="F38" s="100"/>
    </row>
    <row r="39" spans="2:9" x14ac:dyDescent="0.2">
      <c r="B39" s="61" t="s">
        <v>33</v>
      </c>
      <c r="C39" s="148">
        <v>0.73</v>
      </c>
      <c r="D39" s="144"/>
      <c r="E39" s="136"/>
    </row>
    <row r="40" spans="2:9" x14ac:dyDescent="0.2">
      <c r="C40" s="108"/>
      <c r="E40" s="84"/>
    </row>
    <row r="41" spans="2:9" x14ac:dyDescent="0.2">
      <c r="B41" t="s">
        <v>7</v>
      </c>
      <c r="C41" s="108"/>
      <c r="D41" s="29"/>
      <c r="E41" s="29"/>
      <c r="F41" s="101"/>
    </row>
    <row r="42" spans="2:9" x14ac:dyDescent="0.2">
      <c r="B42" s="59" t="s">
        <v>43</v>
      </c>
      <c r="C42" s="149">
        <v>0.06</v>
      </c>
      <c r="D42" s="136"/>
      <c r="E42" s="136"/>
      <c r="F42" s="101"/>
    </row>
    <row r="43" spans="2:9" x14ac:dyDescent="0.2">
      <c r="B43" s="61" t="s">
        <v>9</v>
      </c>
      <c r="C43" s="150">
        <v>0.05</v>
      </c>
      <c r="D43" s="146"/>
      <c r="E43" s="146"/>
    </row>
    <row r="46" spans="2:9" x14ac:dyDescent="0.2">
      <c r="F46" s="82"/>
    </row>
    <row r="47" spans="2:9" x14ac:dyDescent="0.2">
      <c r="C47" s="82"/>
      <c r="D47" s="82"/>
      <c r="E47" s="82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75F9C-AE16-5B46-89DC-711E466AC649}">
  <dimension ref="A1:N62"/>
  <sheetViews>
    <sheetView showGridLines="0" workbookViewId="0">
      <selection activeCell="M11" sqref="M11"/>
    </sheetView>
  </sheetViews>
  <sheetFormatPr baseColWidth="10" defaultRowHeight="16" x14ac:dyDescent="0.2"/>
  <cols>
    <col min="1" max="1" width="13.1640625" customWidth="1"/>
    <col min="2" max="2" width="19" customWidth="1"/>
    <col min="3" max="3" width="16.5" customWidth="1"/>
    <col min="5" max="5" width="23" customWidth="1"/>
    <col min="6" max="6" width="11.5" bestFit="1" customWidth="1"/>
    <col min="7" max="7" width="12.5" customWidth="1"/>
    <col min="8" max="8" width="12.83203125" customWidth="1"/>
    <col min="9" max="9" width="12.33203125" customWidth="1"/>
    <col min="10" max="10" width="12.6640625" customWidth="1"/>
    <col min="11" max="12" width="12.33203125" customWidth="1"/>
    <col min="13" max="13" width="12.5" customWidth="1"/>
    <col min="14" max="14" width="11.5" bestFit="1" customWidth="1"/>
  </cols>
  <sheetData>
    <row r="1" spans="1:14" x14ac:dyDescent="0.2">
      <c r="F1" s="90">
        <f>F4/$C4/12</f>
        <v>701.25</v>
      </c>
      <c r="G1" s="90">
        <f t="shared" ref="G1:I1" si="0">G4/$C4/12</f>
        <v>806.4375</v>
      </c>
      <c r="H1" s="90">
        <f t="shared" si="0"/>
        <v>887.08125000000007</v>
      </c>
      <c r="I1" s="90">
        <f t="shared" si="0"/>
        <v>932.88000000000011</v>
      </c>
      <c r="J1" s="90">
        <f t="shared" ref="J1:M1" si="1">J4/$C4/12</f>
        <v>970.19520000000011</v>
      </c>
      <c r="K1" s="90">
        <f t="shared" si="1"/>
        <v>1009.0030080000001</v>
      </c>
      <c r="L1" s="90">
        <f t="shared" si="1"/>
        <v>1049.3631283200002</v>
      </c>
      <c r="M1" s="90">
        <f t="shared" si="1"/>
        <v>1091.3376534528004</v>
      </c>
    </row>
    <row r="2" spans="1:14" x14ac:dyDescent="0.2">
      <c r="B2" s="23" t="s">
        <v>29</v>
      </c>
      <c r="C2" s="23"/>
      <c r="E2" s="1"/>
      <c r="F2" s="30" t="s">
        <v>0</v>
      </c>
      <c r="G2" s="30">
        <v>1</v>
      </c>
      <c r="H2" s="30">
        <v>2</v>
      </c>
      <c r="I2" s="64">
        <v>3</v>
      </c>
      <c r="J2" s="30">
        <v>4</v>
      </c>
      <c r="K2" s="30">
        <v>5</v>
      </c>
      <c r="L2" s="30">
        <v>6</v>
      </c>
      <c r="M2" s="30">
        <v>7</v>
      </c>
    </row>
    <row r="3" spans="1:14" x14ac:dyDescent="0.2">
      <c r="B3" t="s">
        <v>1</v>
      </c>
      <c r="C3" s="62">
        <f>inputs!C19</f>
        <v>1975000</v>
      </c>
      <c r="E3" s="34"/>
      <c r="F3" s="170"/>
      <c r="G3" s="171">
        <f>inputs!D28</f>
        <v>0.15</v>
      </c>
      <c r="H3" s="36">
        <f>inputs!E28</f>
        <v>0.1</v>
      </c>
      <c r="I3" s="174">
        <f>(I4-H4)/H4</f>
        <v>5.1628585318424979E-2</v>
      </c>
      <c r="J3" s="35">
        <f>inputs!C28</f>
        <v>0.04</v>
      </c>
      <c r="K3" s="35">
        <f>J3</f>
        <v>0.04</v>
      </c>
      <c r="L3" s="35">
        <f>K3</f>
        <v>0.04</v>
      </c>
      <c r="M3" s="36">
        <f>L3</f>
        <v>0.04</v>
      </c>
    </row>
    <row r="4" spans="1:14" x14ac:dyDescent="0.2">
      <c r="B4" s="1" t="s">
        <v>2</v>
      </c>
      <c r="C4" s="62">
        <f>inputs!C20</f>
        <v>32</v>
      </c>
      <c r="E4" s="38" t="s">
        <v>70</v>
      </c>
      <c r="F4" s="40">
        <f>C17*C4*12</f>
        <v>269280</v>
      </c>
      <c r="G4" s="172">
        <f>F4*(1+G3)</f>
        <v>309672</v>
      </c>
      <c r="H4" s="39">
        <f t="shared" ref="H4:M4" si="2">G4*(1+H3)</f>
        <v>340639.2</v>
      </c>
      <c r="I4" s="48">
        <f>inputs!C23*'simple model'!C4*12*(1+J3)^2</f>
        <v>358225.92000000004</v>
      </c>
      <c r="J4" s="12">
        <f t="shared" si="2"/>
        <v>372554.95680000004</v>
      </c>
      <c r="K4" s="40">
        <f t="shared" si="2"/>
        <v>387457.15507200005</v>
      </c>
      <c r="L4" s="40">
        <f t="shared" si="2"/>
        <v>402955.44127488008</v>
      </c>
      <c r="M4" s="40">
        <f t="shared" si="2"/>
        <v>419073.65892587532</v>
      </c>
    </row>
    <row r="5" spans="1:14" x14ac:dyDescent="0.2">
      <c r="B5" t="s">
        <v>31</v>
      </c>
      <c r="C5" s="63">
        <f>C3/C4</f>
        <v>61718.75</v>
      </c>
      <c r="D5" s="1"/>
      <c r="E5" s="19" t="s">
        <v>71</v>
      </c>
      <c r="F5" s="166"/>
      <c r="G5" s="173">
        <f>inputs!D27*'simple model'!G4</f>
        <v>3096.7200000000003</v>
      </c>
      <c r="H5" s="166">
        <f>inputs!E27*'simple model'!H4</f>
        <v>6812.7840000000006</v>
      </c>
      <c r="I5" s="167">
        <f>I4*inputs!$C$27</f>
        <v>10746.777600000001</v>
      </c>
      <c r="J5" s="166">
        <f>J4*inputs!$C$27</f>
        <v>11176.648704000001</v>
      </c>
      <c r="K5" s="166">
        <f>K4*inputs!$C$27</f>
        <v>11623.714652160001</v>
      </c>
      <c r="L5" s="166">
        <f>L4*inputs!$C$27</f>
        <v>12088.663238246401</v>
      </c>
      <c r="M5" s="166">
        <f>M4*inputs!$C$27</f>
        <v>12572.209767776259</v>
      </c>
    </row>
    <row r="6" spans="1:14" x14ac:dyDescent="0.2">
      <c r="D6" s="53"/>
      <c r="E6" s="168" t="s">
        <v>68</v>
      </c>
      <c r="F6" s="169"/>
      <c r="G6" s="176">
        <f>G4*-inputs!D26</f>
        <v>-30967.200000000001</v>
      </c>
      <c r="H6" s="177">
        <f>H4*-inputs!E26</f>
        <v>-27251.136000000002</v>
      </c>
      <c r="I6" s="178">
        <f>I4*-inputs!$C26</f>
        <v>-17911.296000000002</v>
      </c>
      <c r="J6" s="179">
        <f>J4*-inputs!$C26</f>
        <v>-18627.747840000004</v>
      </c>
      <c r="K6" s="179">
        <f>K4*-inputs!$C26</f>
        <v>-19372.857753600005</v>
      </c>
      <c r="L6" s="179">
        <f>L4*-inputs!$C26</f>
        <v>-20147.772063744007</v>
      </c>
      <c r="M6" s="179">
        <f>M4*-inputs!$C26</f>
        <v>-20953.682946293768</v>
      </c>
    </row>
    <row r="7" spans="1:14" x14ac:dyDescent="0.2">
      <c r="B7" s="4" t="s">
        <v>26</v>
      </c>
      <c r="C7" s="24">
        <f>C12-C8</f>
        <v>728900</v>
      </c>
      <c r="E7" s="19" t="s">
        <v>36</v>
      </c>
      <c r="F7" s="166">
        <f>$C19*-F4</f>
        <v>-134640</v>
      </c>
      <c r="G7" s="173">
        <f>inputs!D29*-(G4)</f>
        <v>-170319.6</v>
      </c>
      <c r="H7" s="165">
        <f>inputs!E29*-H4</f>
        <v>-177132.38400000002</v>
      </c>
      <c r="I7" s="167">
        <f>I4*-C19</f>
        <v>-179112.96000000002</v>
      </c>
      <c r="J7" s="166">
        <f>I7*(1+inputs!$C$30)</f>
        <v>-185381.9136</v>
      </c>
      <c r="K7" s="166">
        <f>J7*(1+inputs!$C$30)</f>
        <v>-191870.28057599999</v>
      </c>
      <c r="L7" s="166">
        <f>K7*(1+inputs!$C$30)</f>
        <v>-198585.74039615996</v>
      </c>
      <c r="M7" s="166">
        <f>L7*(1+inputs!$C$30)</f>
        <v>-205536.24131002554</v>
      </c>
    </row>
    <row r="8" spans="1:14" x14ac:dyDescent="0.2">
      <c r="B8" s="4" t="s">
        <v>6</v>
      </c>
      <c r="C8" s="24">
        <f>(C3+C9)*C15</f>
        <v>1675350</v>
      </c>
      <c r="E8" s="1"/>
      <c r="F8" s="41"/>
      <c r="G8" s="42">
        <f t="shared" ref="G8:M8" si="3">-G7/G4</f>
        <v>0.55000000000000004</v>
      </c>
      <c r="H8" s="42">
        <f t="shared" si="3"/>
        <v>0.52</v>
      </c>
      <c r="I8" s="153">
        <f t="shared" si="3"/>
        <v>0.5</v>
      </c>
      <c r="J8" s="42">
        <f t="shared" si="3"/>
        <v>0.4975961538461538</v>
      </c>
      <c r="K8" s="42">
        <f t="shared" si="3"/>
        <v>0.49520386464497035</v>
      </c>
      <c r="L8" s="42">
        <f t="shared" si="3"/>
        <v>0.49282307683417709</v>
      </c>
      <c r="M8" s="42">
        <f t="shared" si="3"/>
        <v>0.49045373511862805</v>
      </c>
    </row>
    <row r="9" spans="1:14" x14ac:dyDescent="0.2">
      <c r="A9" s="130">
        <f>inputs!C32</f>
        <v>10000</v>
      </c>
      <c r="B9" s="102" t="s">
        <v>30</v>
      </c>
      <c r="C9" s="126">
        <f>A9*C4</f>
        <v>320000</v>
      </c>
      <c r="E9" s="37" t="s">
        <v>11</v>
      </c>
      <c r="F9" s="43">
        <f t="shared" ref="F9:M9" si="4">SUM(F4:F7)</f>
        <v>134640</v>
      </c>
      <c r="G9" s="10">
        <f t="shared" si="4"/>
        <v>111481.91999999995</v>
      </c>
      <c r="H9" s="44">
        <f t="shared" si="4"/>
        <v>143068.46399999998</v>
      </c>
      <c r="I9" s="66">
        <f t="shared" si="4"/>
        <v>171948.44160000008</v>
      </c>
      <c r="J9" s="175">
        <f t="shared" si="4"/>
        <v>179721.94406400001</v>
      </c>
      <c r="K9" s="10">
        <f t="shared" si="4"/>
        <v>187837.73139456008</v>
      </c>
      <c r="L9" s="10">
        <f t="shared" si="4"/>
        <v>196310.5920532225</v>
      </c>
      <c r="M9" s="44">
        <f t="shared" si="4"/>
        <v>205155.94443733225</v>
      </c>
    </row>
    <row r="10" spans="1:14" x14ac:dyDescent="0.2">
      <c r="A10" s="127">
        <f>inputs!C35</f>
        <v>0.03</v>
      </c>
      <c r="B10" s="128" t="s">
        <v>5</v>
      </c>
      <c r="C10" s="126">
        <f>A10*C3</f>
        <v>59250</v>
      </c>
      <c r="E10" s="4" t="s">
        <v>12</v>
      </c>
      <c r="F10" s="6"/>
      <c r="G10" s="201">
        <f>C8*-C14</f>
        <v>-98426.8125</v>
      </c>
      <c r="H10" s="202">
        <f>C8*-C14</f>
        <v>-98426.8125</v>
      </c>
      <c r="I10" s="210">
        <f>PMT($C14/12,$C13*12,$C8,0,0)*12</f>
        <v>-118923.9349839152</v>
      </c>
      <c r="J10" s="31">
        <f>PMT($C14/12,$C13*12,$C8,0,0)*12</f>
        <v>-118923.9349839152</v>
      </c>
      <c r="K10" s="31">
        <f>PMT($C14/12,$C13*12,$C8,0,0)*12</f>
        <v>-118923.9349839152</v>
      </c>
      <c r="L10" s="31">
        <f>PMT($C14/12,$C13*12,$C8,0,0)*12</f>
        <v>-118923.9349839152</v>
      </c>
      <c r="M10" s="31">
        <f>PMT($C14/12,$C13*12,$C8,0,0)*12</f>
        <v>-118923.9349839152</v>
      </c>
      <c r="N10" s="32"/>
    </row>
    <row r="11" spans="1:14" x14ac:dyDescent="0.2">
      <c r="A11" s="127"/>
      <c r="B11" s="128" t="s">
        <v>69</v>
      </c>
      <c r="C11" s="126">
        <f>inputs!C22</f>
        <v>50000</v>
      </c>
      <c r="E11" s="15" t="s">
        <v>13</v>
      </c>
      <c r="F11" s="18">
        <f>inputs!C31</f>
        <v>0.02</v>
      </c>
      <c r="G11" s="46">
        <f t="shared" ref="G11:M11" si="5">G4*-$F11</f>
        <v>-6193.4400000000005</v>
      </c>
      <c r="H11" s="46">
        <f t="shared" si="5"/>
        <v>-6812.7840000000006</v>
      </c>
      <c r="I11" s="67">
        <f t="shared" si="5"/>
        <v>-7164.5184000000008</v>
      </c>
      <c r="J11" s="46">
        <f t="shared" si="5"/>
        <v>-7451.0991360000007</v>
      </c>
      <c r="K11" s="46">
        <f t="shared" si="5"/>
        <v>-7749.1431014400014</v>
      </c>
      <c r="L11" s="46">
        <f t="shared" si="5"/>
        <v>-8059.1088254976021</v>
      </c>
      <c r="M11" s="46">
        <f t="shared" si="5"/>
        <v>-8381.4731785175063</v>
      </c>
      <c r="N11" s="32"/>
    </row>
    <row r="12" spans="1:14" x14ac:dyDescent="0.2">
      <c r="B12" t="s">
        <v>32</v>
      </c>
      <c r="C12" s="63">
        <f>C3+C9+C10+C11</f>
        <v>2404250</v>
      </c>
      <c r="D12" s="1"/>
      <c r="E12" s="4"/>
      <c r="F12" s="189"/>
      <c r="G12" s="32"/>
      <c r="H12" s="32"/>
      <c r="I12" s="69"/>
      <c r="J12" s="32"/>
      <c r="K12" s="32"/>
      <c r="L12" s="32"/>
      <c r="M12" s="32"/>
    </row>
    <row r="13" spans="1:14" x14ac:dyDescent="0.2">
      <c r="B13" s="78" t="s">
        <v>10</v>
      </c>
      <c r="C13" s="29">
        <f>inputs!C37</f>
        <v>30</v>
      </c>
      <c r="D13" s="1"/>
      <c r="E13" s="19" t="s">
        <v>14</v>
      </c>
      <c r="F13" s="11"/>
      <c r="G13" s="20">
        <f>MAX(0,SUM(G9:G11))</f>
        <v>6861.6674999999541</v>
      </c>
      <c r="H13" s="20">
        <f t="shared" ref="H13" si="6">MAX(0,SUM(H9:H11))</f>
        <v>37828.867499999978</v>
      </c>
      <c r="I13" s="51">
        <f t="shared" ref="I13:J13" si="7">SUM(I9:I11)</f>
        <v>45859.988216084879</v>
      </c>
      <c r="J13" s="20">
        <f t="shared" si="7"/>
        <v>53346.909944084808</v>
      </c>
      <c r="K13" s="20">
        <f>SUM(K9:K11)</f>
        <v>61164.653309204878</v>
      </c>
      <c r="L13" s="20">
        <f>SUM(L9:L11)</f>
        <v>69327.548243809695</v>
      </c>
      <c r="M13" s="20">
        <f>SUM(M9:M11)</f>
        <v>77850.536274899539</v>
      </c>
    </row>
    <row r="14" spans="1:14" x14ac:dyDescent="0.2">
      <c r="B14" s="1" t="s">
        <v>4</v>
      </c>
      <c r="C14" s="54">
        <f>inputs!C36</f>
        <v>5.8749999999999997E-2</v>
      </c>
      <c r="D14" s="1"/>
      <c r="F14" s="5"/>
      <c r="I14" s="68"/>
      <c r="J14" s="57"/>
      <c r="N14" s="83"/>
    </row>
    <row r="15" spans="1:14" x14ac:dyDescent="0.2">
      <c r="B15" s="1" t="s">
        <v>33</v>
      </c>
      <c r="C15" s="79">
        <f>inputs!C39</f>
        <v>0.73</v>
      </c>
      <c r="D15" s="1"/>
      <c r="E15" s="37" t="s">
        <v>15</v>
      </c>
      <c r="F15" s="73"/>
      <c r="G15" s="74">
        <f>G13/$C$7</f>
        <v>9.413729592536637E-3</v>
      </c>
      <c r="H15" s="74">
        <f t="shared" ref="H15:M15" si="8">H13/$C$7</f>
        <v>5.1898569762656027E-2</v>
      </c>
      <c r="I15" s="75">
        <f t="shared" si="8"/>
        <v>6.2916707663719137E-2</v>
      </c>
      <c r="J15" s="74">
        <f t="shared" si="8"/>
        <v>7.3188242480566337E-2</v>
      </c>
      <c r="K15" s="74">
        <f t="shared" si="8"/>
        <v>8.3913641527239513E-2</v>
      </c>
      <c r="L15" s="74">
        <f t="shared" si="8"/>
        <v>9.5112564472231709E-2</v>
      </c>
      <c r="M15" s="76">
        <f t="shared" si="8"/>
        <v>0.10680551004925166</v>
      </c>
      <c r="N15" s="83">
        <f>AVERAGE(G15:M15)</f>
        <v>6.9035566506885859E-2</v>
      </c>
    </row>
    <row r="16" spans="1:14" x14ac:dyDescent="0.2">
      <c r="F16" s="5"/>
      <c r="I16" s="68"/>
    </row>
    <row r="17" spans="2:14" x14ac:dyDescent="0.2">
      <c r="B17" t="s">
        <v>27</v>
      </c>
      <c r="C17" s="62">
        <f>inputs!C21</f>
        <v>701.25</v>
      </c>
      <c r="E17" s="4" t="s">
        <v>16</v>
      </c>
      <c r="F17" s="4"/>
      <c r="G17" s="205">
        <v>0</v>
      </c>
      <c r="H17" s="25">
        <v>0</v>
      </c>
      <c r="I17" s="160">
        <f>CUMPRINC($C14/12,$C13*12,$C8,1,12,0)</f>
        <v>-21058.157364088172</v>
      </c>
      <c r="J17" s="25">
        <f>CUMPRINC($C14/12,$C13*12,$C8,13,24,0)</f>
        <v>-22329.187091564454</v>
      </c>
      <c r="K17" s="25">
        <f>CUMPRINC($C14/12,$C13*12,$C8,25,36,0)</f>
        <v>-23676.933719774097</v>
      </c>
      <c r="L17" s="25">
        <f>CUMPRINC($C14/12,$C13*12,$C8,37,48,0)</f>
        <v>-25106.027732749797</v>
      </c>
      <c r="M17" s="25">
        <f>CUMPRINC($C23/12,$C13*12,$C8,49,60,0)</f>
        <v>-26138.401414436987</v>
      </c>
    </row>
    <row r="18" spans="2:14" x14ac:dyDescent="0.2">
      <c r="B18" t="s">
        <v>28</v>
      </c>
      <c r="C18" s="62">
        <f>inputs!C23</f>
        <v>862.5</v>
      </c>
      <c r="D18" s="1"/>
      <c r="E18" s="4" t="s">
        <v>17</v>
      </c>
      <c r="F18" s="6"/>
      <c r="G18" s="3">
        <f t="shared" ref="G18:M18" si="9">G9/$C$23</f>
        <v>1858031.9999999993</v>
      </c>
      <c r="H18" s="3">
        <f t="shared" si="9"/>
        <v>2384474.4</v>
      </c>
      <c r="I18" s="50">
        <f t="shared" si="9"/>
        <v>2865807.3600000013</v>
      </c>
      <c r="J18" s="3">
        <f t="shared" si="9"/>
        <v>2995365.7344000004</v>
      </c>
      <c r="K18" s="3">
        <f t="shared" si="9"/>
        <v>3130628.8565760013</v>
      </c>
      <c r="L18" s="3">
        <f t="shared" si="9"/>
        <v>3271843.2008870416</v>
      </c>
      <c r="M18" s="3">
        <f t="shared" si="9"/>
        <v>3419265.7406222043</v>
      </c>
      <c r="N18" s="159"/>
    </row>
    <row r="19" spans="2:14" x14ac:dyDescent="0.2">
      <c r="B19" t="s">
        <v>42</v>
      </c>
      <c r="C19" s="55">
        <f>inputs!C29</f>
        <v>0.5</v>
      </c>
      <c r="D19" s="1"/>
      <c r="E19" s="4" t="s">
        <v>18</v>
      </c>
      <c r="F19" s="6"/>
      <c r="G19" s="14">
        <f t="shared" ref="G19:M19" si="10">G18*-$C$24</f>
        <v>-92901.599999999977</v>
      </c>
      <c r="H19" s="14">
        <f t="shared" si="10"/>
        <v>-119223.72</v>
      </c>
      <c r="I19" s="49">
        <f t="shared" si="10"/>
        <v>-143290.36800000007</v>
      </c>
      <c r="J19" s="3">
        <f t="shared" si="10"/>
        <v>-149768.28672000003</v>
      </c>
      <c r="K19" s="14">
        <f t="shared" si="10"/>
        <v>-156531.44282880006</v>
      </c>
      <c r="L19" s="14">
        <f t="shared" si="10"/>
        <v>-163592.16004435209</v>
      </c>
      <c r="M19" s="14">
        <f t="shared" si="10"/>
        <v>-170963.28703111023</v>
      </c>
    </row>
    <row r="20" spans="2:14" x14ac:dyDescent="0.2">
      <c r="D20" s="1"/>
      <c r="E20" s="4" t="s">
        <v>19</v>
      </c>
      <c r="F20" s="6"/>
      <c r="G20" s="3">
        <f>-$C8</f>
        <v>-1675350</v>
      </c>
      <c r="H20" s="3">
        <f>G20-H17</f>
        <v>-1675350</v>
      </c>
      <c r="I20" s="49">
        <f t="shared" ref="I20:M20" si="11">H20-I17</f>
        <v>-1654291.8426359119</v>
      </c>
      <c r="J20" s="3">
        <f t="shared" si="11"/>
        <v>-1631962.6555443474</v>
      </c>
      <c r="K20" s="3">
        <f t="shared" si="11"/>
        <v>-1608285.7218245734</v>
      </c>
      <c r="L20" s="3">
        <f t="shared" si="11"/>
        <v>-1583179.6940918237</v>
      </c>
      <c r="M20" s="3">
        <f t="shared" si="11"/>
        <v>-1557041.2926773867</v>
      </c>
    </row>
    <row r="21" spans="2:14" x14ac:dyDescent="0.2">
      <c r="D21" s="1"/>
      <c r="E21" s="4" t="s">
        <v>20</v>
      </c>
      <c r="F21" s="6"/>
      <c r="G21" s="32">
        <f>SUM(G18:G20)</f>
        <v>89780.399999999441</v>
      </c>
      <c r="H21" s="32">
        <f>SUM(H18:H20)</f>
        <v>589900.6799999997</v>
      </c>
      <c r="I21" s="69">
        <f>SUM(I18:I20)</f>
        <v>1068225.1493640891</v>
      </c>
      <c r="J21" s="32">
        <f>SUM(J18:J20)</f>
        <v>1213634.7921356529</v>
      </c>
      <c r="K21" s="32">
        <f>SUM(K18:K20)</f>
        <v>1365811.6919226279</v>
      </c>
      <c r="L21" s="32">
        <f t="shared" ref="L21:M21" si="12">SUM(L18:L20)</f>
        <v>1525071.3467508659</v>
      </c>
      <c r="M21" s="32">
        <f t="shared" si="12"/>
        <v>1691261.1609137072</v>
      </c>
    </row>
    <row r="22" spans="2:14" x14ac:dyDescent="0.2">
      <c r="B22" s="80" t="s">
        <v>7</v>
      </c>
      <c r="C22" s="81"/>
      <c r="D22" s="77"/>
      <c r="E22" s="1"/>
      <c r="F22" s="2"/>
      <c r="G22" s="1"/>
      <c r="H22" s="1"/>
      <c r="I22" s="69"/>
      <c r="J22" s="1"/>
      <c r="K22" s="1"/>
      <c r="L22" s="1"/>
      <c r="M22" s="1"/>
    </row>
    <row r="23" spans="2:14" x14ac:dyDescent="0.2">
      <c r="B23" s="1" t="s">
        <v>8</v>
      </c>
      <c r="C23" s="54">
        <f>inputs!C42</f>
        <v>0.06</v>
      </c>
      <c r="E23" s="4" t="s">
        <v>26</v>
      </c>
      <c r="F23" s="6"/>
      <c r="G23" s="3">
        <f t="shared" ref="G23:M23" si="13">-$C$7</f>
        <v>-728900</v>
      </c>
      <c r="H23" s="3">
        <f t="shared" si="13"/>
        <v>-728900</v>
      </c>
      <c r="I23" s="49">
        <f t="shared" si="13"/>
        <v>-728900</v>
      </c>
      <c r="J23" s="3">
        <f t="shared" si="13"/>
        <v>-728900</v>
      </c>
      <c r="K23" s="3">
        <f t="shared" si="13"/>
        <v>-728900</v>
      </c>
      <c r="L23" s="3">
        <f t="shared" si="13"/>
        <v>-728900</v>
      </c>
      <c r="M23" s="3">
        <f t="shared" si="13"/>
        <v>-728900</v>
      </c>
    </row>
    <row r="24" spans="2:14" x14ac:dyDescent="0.2">
      <c r="B24" s="1" t="s">
        <v>9</v>
      </c>
      <c r="C24" s="54">
        <f>inputs!C43</f>
        <v>0.05</v>
      </c>
      <c r="E24" s="1">
        <v>1</v>
      </c>
      <c r="F24" s="2"/>
      <c r="G24" s="3">
        <f>G21+G13</f>
        <v>96642.067499999393</v>
      </c>
      <c r="H24" s="3">
        <f>G13</f>
        <v>6861.6674999999541</v>
      </c>
      <c r="I24" s="49">
        <f>H24</f>
        <v>6861.6674999999541</v>
      </c>
      <c r="J24" s="3">
        <f t="shared" ref="J24:M26" si="14">I24</f>
        <v>6861.6674999999541</v>
      </c>
      <c r="K24" s="3">
        <f t="shared" si="14"/>
        <v>6861.6674999999541</v>
      </c>
      <c r="L24" s="3">
        <f t="shared" si="14"/>
        <v>6861.6674999999541</v>
      </c>
      <c r="M24" s="3">
        <f t="shared" si="14"/>
        <v>6861.6674999999541</v>
      </c>
    </row>
    <row r="25" spans="2:14" x14ac:dyDescent="0.2">
      <c r="B25" t="s">
        <v>67</v>
      </c>
      <c r="C25" s="83">
        <f>inputs!C38</f>
        <v>0</v>
      </c>
      <c r="E25" s="1">
        <v>2</v>
      </c>
      <c r="F25" s="2"/>
      <c r="G25" s="3"/>
      <c r="H25" s="3">
        <f>H21+H13</f>
        <v>627729.54749999964</v>
      </c>
      <c r="I25" s="49">
        <f>H13</f>
        <v>37828.867499999978</v>
      </c>
      <c r="J25" s="3">
        <f>I25</f>
        <v>37828.867499999978</v>
      </c>
      <c r="K25" s="3">
        <f t="shared" si="14"/>
        <v>37828.867499999978</v>
      </c>
      <c r="L25" s="3">
        <f t="shared" si="14"/>
        <v>37828.867499999978</v>
      </c>
      <c r="M25" s="3">
        <f t="shared" si="14"/>
        <v>37828.867499999978</v>
      </c>
    </row>
    <row r="26" spans="2:14" x14ac:dyDescent="0.2">
      <c r="E26" s="1">
        <v>3</v>
      </c>
      <c r="F26" s="2"/>
      <c r="G26" s="3"/>
      <c r="H26" s="3"/>
      <c r="I26" s="49">
        <f>I21+I13+I22</f>
        <v>1114085.137580174</v>
      </c>
      <c r="J26" s="3">
        <f>I13+I22</f>
        <v>45859.988216084879</v>
      </c>
      <c r="K26" s="3">
        <f>J26</f>
        <v>45859.988216084879</v>
      </c>
      <c r="L26" s="3">
        <f t="shared" si="14"/>
        <v>45859.988216084879</v>
      </c>
      <c r="M26" s="3">
        <f t="shared" si="14"/>
        <v>45859.988216084879</v>
      </c>
    </row>
    <row r="27" spans="2:14" x14ac:dyDescent="0.2">
      <c r="E27" s="1">
        <v>4</v>
      </c>
      <c r="F27" s="2"/>
      <c r="G27" s="3"/>
      <c r="H27" s="3"/>
      <c r="I27" s="49"/>
      <c r="J27" s="3">
        <f>J21+J13</f>
        <v>1266981.7020797376</v>
      </c>
      <c r="K27" s="3">
        <f>J13</f>
        <v>53346.909944084808</v>
      </c>
      <c r="L27" s="3">
        <f>K27</f>
        <v>53346.909944084808</v>
      </c>
      <c r="M27" s="3">
        <f>L27</f>
        <v>53346.909944084808</v>
      </c>
    </row>
    <row r="28" spans="2:14" x14ac:dyDescent="0.2">
      <c r="E28" s="1">
        <v>5</v>
      </c>
      <c r="F28" s="2"/>
      <c r="G28" s="3"/>
      <c r="H28" s="3"/>
      <c r="I28" s="49"/>
      <c r="J28" s="3"/>
      <c r="K28" s="3">
        <f>K21+K13</f>
        <v>1426976.3452318327</v>
      </c>
      <c r="L28" s="3">
        <f>K13</f>
        <v>61164.653309204878</v>
      </c>
      <c r="M28" s="3">
        <f>L28</f>
        <v>61164.653309204878</v>
      </c>
    </row>
    <row r="29" spans="2:14" x14ac:dyDescent="0.2">
      <c r="B29" s="21"/>
      <c r="C29" s="26"/>
      <c r="D29" s="1"/>
      <c r="E29" s="1">
        <v>6</v>
      </c>
      <c r="F29" s="2"/>
      <c r="G29" s="3"/>
      <c r="H29" s="3"/>
      <c r="I29" s="49"/>
      <c r="J29" s="3"/>
      <c r="K29" s="3"/>
      <c r="L29" s="3">
        <f>L21+L13</f>
        <v>1594398.8949946756</v>
      </c>
      <c r="M29" s="3">
        <f>L13</f>
        <v>69327.548243809695</v>
      </c>
    </row>
    <row r="30" spans="2:14" x14ac:dyDescent="0.2">
      <c r="C30" s="27"/>
      <c r="D30" s="1"/>
      <c r="E30" s="4" t="s">
        <v>21</v>
      </c>
      <c r="F30" s="6"/>
      <c r="G30" s="3"/>
      <c r="H30" s="3"/>
      <c r="I30" s="49"/>
      <c r="J30" s="3"/>
      <c r="K30" s="3"/>
      <c r="L30" s="3"/>
      <c r="M30" s="3">
        <f>M21+M13</f>
        <v>1769111.6971886067</v>
      </c>
    </row>
    <row r="31" spans="2:14" x14ac:dyDescent="0.2">
      <c r="B31" s="21"/>
      <c r="C31" s="28"/>
      <c r="D31" s="1"/>
      <c r="E31" s="4"/>
      <c r="F31" s="7"/>
      <c r="G31" s="3"/>
      <c r="H31" s="3"/>
      <c r="I31" s="49"/>
      <c r="J31" s="3"/>
      <c r="K31" s="3"/>
      <c r="L31" s="3"/>
      <c r="M31" s="3"/>
    </row>
    <row r="32" spans="2:14" x14ac:dyDescent="0.2">
      <c r="C32" s="24"/>
      <c r="D32" s="1"/>
      <c r="E32" s="37" t="s">
        <v>22</v>
      </c>
      <c r="F32" s="9"/>
      <c r="G32" s="16"/>
      <c r="H32" s="16">
        <f>IRR(H23:H31)</f>
        <v>-6.7271936778945052E-2</v>
      </c>
      <c r="I32" s="70">
        <f t="shared" ref="I32:M32" si="15">IRR(I23:I30)</f>
        <v>0.17010957786081238</v>
      </c>
      <c r="J32" s="47">
        <f t="shared" si="15"/>
        <v>0.17387082271317533</v>
      </c>
      <c r="K32" s="16">
        <f t="shared" si="15"/>
        <v>0.17422524082424906</v>
      </c>
      <c r="L32" s="16">
        <f t="shared" si="15"/>
        <v>0.17319034537359701</v>
      </c>
      <c r="M32" s="45">
        <f t="shared" si="15"/>
        <v>0.17152619476502373</v>
      </c>
    </row>
    <row r="33" spans="1:14" x14ac:dyDescent="0.2">
      <c r="C33" s="24"/>
      <c r="E33" s="1"/>
      <c r="F33" s="1"/>
      <c r="G33" s="1"/>
      <c r="H33" s="1"/>
      <c r="I33" s="71"/>
      <c r="J33" s="1"/>
      <c r="K33" s="1"/>
      <c r="L33" s="1"/>
      <c r="M33" s="1"/>
    </row>
    <row r="34" spans="1:14" x14ac:dyDescent="0.2">
      <c r="C34" s="24"/>
      <c r="E34" s="1" t="s">
        <v>23</v>
      </c>
      <c r="F34" s="1"/>
      <c r="G34" s="17">
        <f t="shared" ref="G34:M34" si="16">G35/-G23</f>
        <v>-0.86741381876800738</v>
      </c>
      <c r="H34" s="17">
        <f t="shared" si="16"/>
        <v>-0.12938508025792342</v>
      </c>
      <c r="I34" s="52">
        <f t="shared" si="16"/>
        <v>0.58975946299927828</v>
      </c>
      <c r="J34" s="17">
        <f t="shared" si="16"/>
        <v>0.86243960117412866</v>
      </c>
      <c r="K34" s="17">
        <f t="shared" si="16"/>
        <v>1.1551293433831833</v>
      </c>
      <c r="L34" s="17">
        <f t="shared" si="16"/>
        <v>1.4687350548278917</v>
      </c>
      <c r="M34" s="17">
        <f t="shared" si="16"/>
        <v>1.8035414074657581</v>
      </c>
    </row>
    <row r="35" spans="1:14" x14ac:dyDescent="0.2">
      <c r="B35" s="4"/>
      <c r="C35" s="8"/>
      <c r="E35" s="1" t="s">
        <v>24</v>
      </c>
      <c r="F35" s="1"/>
      <c r="G35" s="3">
        <f t="shared" ref="G35:M35" si="17">SUM(G23:G31)</f>
        <v>-632257.93250000058</v>
      </c>
      <c r="H35" s="3">
        <f t="shared" si="17"/>
        <v>-94308.785000000382</v>
      </c>
      <c r="I35" s="49">
        <f t="shared" si="17"/>
        <v>429875.67258017394</v>
      </c>
      <c r="J35" s="3">
        <f t="shared" si="17"/>
        <v>628632.22529582237</v>
      </c>
      <c r="K35" s="3">
        <f t="shared" si="17"/>
        <v>841973.77839200234</v>
      </c>
      <c r="L35" s="3">
        <f t="shared" si="17"/>
        <v>1070560.9814640502</v>
      </c>
      <c r="M35" s="3">
        <f t="shared" si="17"/>
        <v>1314601.331901791</v>
      </c>
    </row>
    <row r="36" spans="1:14" x14ac:dyDescent="0.2">
      <c r="E36" s="4" t="s">
        <v>25</v>
      </c>
      <c r="F36" s="4"/>
      <c r="G36" s="33">
        <f t="shared" ref="G36:M36" si="18">(G35-G23)/-G23</f>
        <v>0.13258618123199262</v>
      </c>
      <c r="H36" s="33">
        <f t="shared" si="18"/>
        <v>0.87061491974207661</v>
      </c>
      <c r="I36" s="72">
        <f t="shared" si="18"/>
        <v>1.5897594629992782</v>
      </c>
      <c r="J36" s="33">
        <f t="shared" si="18"/>
        <v>1.8624396011741287</v>
      </c>
      <c r="K36" s="33">
        <f t="shared" si="18"/>
        <v>2.1551293433831833</v>
      </c>
      <c r="L36" s="33">
        <f t="shared" si="18"/>
        <v>2.4687350548278917</v>
      </c>
      <c r="M36" s="33">
        <f t="shared" si="18"/>
        <v>2.8035414074657581</v>
      </c>
      <c r="N36" s="13"/>
    </row>
    <row r="37" spans="1:14" x14ac:dyDescent="0.2">
      <c r="D37" s="1"/>
      <c r="E37" s="1" t="s">
        <v>65</v>
      </c>
      <c r="G37" s="159">
        <f>-G9/G10</f>
        <v>1.1326377149519087</v>
      </c>
      <c r="H37" s="159">
        <f t="shared" ref="H37:M37" si="19">-H9/H10</f>
        <v>1.4535517341882831</v>
      </c>
      <c r="I37" s="159">
        <f t="shared" si="19"/>
        <v>1.4458690895424593</v>
      </c>
      <c r="J37" s="159">
        <f t="shared" si="19"/>
        <v>1.5112344212988573</v>
      </c>
      <c r="K37" s="159">
        <f t="shared" si="19"/>
        <v>1.5794779362116269</v>
      </c>
      <c r="L37" s="159">
        <f t="shared" si="19"/>
        <v>1.6507239865530354</v>
      </c>
      <c r="M37" s="159">
        <f t="shared" si="19"/>
        <v>1.7251022215593537</v>
      </c>
    </row>
    <row r="38" spans="1:14" x14ac:dyDescent="0.2">
      <c r="D38" s="1"/>
    </row>
    <row r="39" spans="1:14" x14ac:dyDescent="0.2">
      <c r="C39" s="29"/>
      <c r="D39" s="1"/>
    </row>
    <row r="40" spans="1:14" x14ac:dyDescent="0.2">
      <c r="B40" s="1"/>
      <c r="C40" s="22"/>
      <c r="D40" s="1"/>
    </row>
    <row r="41" spans="1:14" x14ac:dyDescent="0.2">
      <c r="B41" s="1"/>
      <c r="C41" s="58"/>
    </row>
    <row r="42" spans="1:14" x14ac:dyDescent="0.2">
      <c r="B42" s="1"/>
      <c r="C42" s="55"/>
    </row>
    <row r="43" spans="1:14" x14ac:dyDescent="0.2">
      <c r="B43" s="1"/>
      <c r="C43" s="25"/>
    </row>
    <row r="44" spans="1:14" x14ac:dyDescent="0.2">
      <c r="B44" s="1"/>
      <c r="C44" s="55"/>
    </row>
    <row r="45" spans="1:14" x14ac:dyDescent="0.2">
      <c r="B45" s="1"/>
      <c r="C45" s="25"/>
    </row>
    <row r="46" spans="1:14" x14ac:dyDescent="0.2">
      <c r="A46" s="1"/>
      <c r="B46" s="1"/>
      <c r="C46" s="25"/>
      <c r="D46" s="1"/>
    </row>
    <row r="47" spans="1:14" x14ac:dyDescent="0.2">
      <c r="A47" s="1"/>
      <c r="B47" s="1"/>
      <c r="C47" s="22"/>
      <c r="D47" s="1"/>
    </row>
    <row r="48" spans="1:14" x14ac:dyDescent="0.2">
      <c r="A48" s="1"/>
      <c r="B48" s="1"/>
      <c r="C48" s="30"/>
      <c r="D48" s="1"/>
    </row>
    <row r="49" spans="1:4" x14ac:dyDescent="0.2">
      <c r="A49" s="1"/>
      <c r="B49" s="1"/>
      <c r="C49" s="30"/>
      <c r="D49" s="1"/>
    </row>
    <row r="50" spans="1:4" x14ac:dyDescent="0.2">
      <c r="A50" s="1"/>
      <c r="B50" s="1"/>
      <c r="C50" s="54"/>
      <c r="D50" s="1"/>
    </row>
    <row r="51" spans="1:4" x14ac:dyDescent="0.2">
      <c r="A51" s="1"/>
      <c r="B51" s="1"/>
      <c r="C51" s="30"/>
      <c r="D51" s="1"/>
    </row>
    <row r="52" spans="1:4" x14ac:dyDescent="0.2">
      <c r="A52" s="1"/>
      <c r="B52" s="1"/>
      <c r="C52" s="1"/>
      <c r="D52" s="1"/>
    </row>
    <row r="53" spans="1:4" x14ac:dyDescent="0.2">
      <c r="A53" s="1"/>
      <c r="B53" s="1"/>
      <c r="C53" s="1"/>
      <c r="D53" s="1"/>
    </row>
    <row r="54" spans="1:4" x14ac:dyDescent="0.2">
      <c r="A54" s="1"/>
      <c r="B54" s="1"/>
      <c r="C54" s="1"/>
      <c r="D54" s="1"/>
    </row>
    <row r="55" spans="1:4" x14ac:dyDescent="0.2">
      <c r="A55" s="1"/>
      <c r="B55" s="1"/>
      <c r="C55" s="1"/>
      <c r="D55" s="1"/>
    </row>
    <row r="56" spans="1:4" x14ac:dyDescent="0.2">
      <c r="A56" s="1"/>
      <c r="B56" s="1"/>
      <c r="C56" s="1"/>
      <c r="D56" s="1"/>
    </row>
    <row r="57" spans="1:4" x14ac:dyDescent="0.2">
      <c r="A57" s="1"/>
      <c r="B57" s="1"/>
      <c r="C57" s="1"/>
      <c r="D57" s="1"/>
    </row>
    <row r="58" spans="1:4" x14ac:dyDescent="0.2">
      <c r="A58" s="1"/>
      <c r="B58" s="1"/>
      <c r="C58" s="1"/>
      <c r="D58" s="1"/>
    </row>
    <row r="59" spans="1:4" x14ac:dyDescent="0.2">
      <c r="A59" s="1"/>
      <c r="B59" s="1"/>
      <c r="C59" s="1"/>
      <c r="D59" s="1"/>
    </row>
    <row r="60" spans="1:4" x14ac:dyDescent="0.2">
      <c r="A60" s="1"/>
      <c r="B60" s="1"/>
      <c r="C60" s="1"/>
      <c r="D60" s="1"/>
    </row>
    <row r="61" spans="1:4" x14ac:dyDescent="0.2">
      <c r="A61" s="1"/>
      <c r="B61" s="1"/>
      <c r="C61" s="1"/>
      <c r="D61" s="1"/>
    </row>
    <row r="62" spans="1:4" x14ac:dyDescent="0.2">
      <c r="A62" s="1"/>
      <c r="B62" s="1"/>
      <c r="C62" s="1"/>
      <c r="D62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5AB97-A764-3749-A84C-83851347624F}">
  <dimension ref="A1:N64"/>
  <sheetViews>
    <sheetView showGridLines="0" zoomScale="95" workbookViewId="0">
      <selection activeCell="M11" sqref="M11"/>
    </sheetView>
  </sheetViews>
  <sheetFormatPr baseColWidth="10" defaultRowHeight="16" x14ac:dyDescent="0.2"/>
  <cols>
    <col min="1" max="1" width="13.1640625" customWidth="1"/>
    <col min="2" max="2" width="19" customWidth="1"/>
    <col min="3" max="3" width="16.5" customWidth="1"/>
    <col min="4" max="4" width="11" bestFit="1" customWidth="1"/>
    <col min="5" max="5" width="23" customWidth="1"/>
    <col min="6" max="6" width="11.6640625" bestFit="1" customWidth="1"/>
    <col min="7" max="8" width="12.83203125" customWidth="1"/>
    <col min="9" max="10" width="13" customWidth="1"/>
    <col min="11" max="11" width="13.1640625" customWidth="1"/>
    <col min="12" max="12" width="12.33203125" customWidth="1"/>
    <col min="13" max="13" width="12.5" customWidth="1"/>
    <col min="14" max="14" width="11.6640625" bestFit="1" customWidth="1"/>
  </cols>
  <sheetData>
    <row r="1" spans="1:14" x14ac:dyDescent="0.2">
      <c r="I1" s="151" t="s">
        <v>45</v>
      </c>
    </row>
    <row r="2" spans="1:14" x14ac:dyDescent="0.2">
      <c r="B2" s="23" t="s">
        <v>29</v>
      </c>
      <c r="C2" s="23"/>
      <c r="E2" s="1"/>
      <c r="F2" s="30" t="s">
        <v>0</v>
      </c>
      <c r="G2" s="30">
        <v>1</v>
      </c>
      <c r="H2" s="30">
        <v>2</v>
      </c>
      <c r="I2" s="64">
        <v>3</v>
      </c>
      <c r="J2" s="30">
        <v>4</v>
      </c>
      <c r="K2" s="30">
        <v>5</v>
      </c>
      <c r="L2" s="30">
        <v>6</v>
      </c>
      <c r="M2" s="30">
        <v>7</v>
      </c>
    </row>
    <row r="3" spans="1:14" x14ac:dyDescent="0.2">
      <c r="B3" t="s">
        <v>1</v>
      </c>
      <c r="C3" s="62">
        <f>inputs!C19</f>
        <v>1975000</v>
      </c>
      <c r="E3" s="34"/>
      <c r="F3" s="170"/>
      <c r="G3" s="171">
        <f>'simple model'!G3</f>
        <v>0.15</v>
      </c>
      <c r="H3" s="36">
        <f>'simple model'!H3</f>
        <v>0.1</v>
      </c>
      <c r="I3" s="65">
        <f>(I4-H4)/H4</f>
        <v>5.1628585318424979E-2</v>
      </c>
      <c r="J3" s="35">
        <f>inputs!C28</f>
        <v>0.04</v>
      </c>
      <c r="K3" s="35">
        <f>J3</f>
        <v>0.04</v>
      </c>
      <c r="L3" s="35">
        <f>K3</f>
        <v>0.04</v>
      </c>
      <c r="M3" s="36">
        <f>L3</f>
        <v>0.04</v>
      </c>
    </row>
    <row r="4" spans="1:14" x14ac:dyDescent="0.2">
      <c r="B4" s="1" t="s">
        <v>2</v>
      </c>
      <c r="C4" s="62">
        <f>inputs!C20</f>
        <v>32</v>
      </c>
      <c r="E4" s="38" t="s">
        <v>70</v>
      </c>
      <c r="F4" s="40">
        <f>C18*C4*12</f>
        <v>269280</v>
      </c>
      <c r="G4" s="172">
        <f>F4*(1+G3)</f>
        <v>309672</v>
      </c>
      <c r="H4" s="39">
        <f t="shared" ref="H4:M4" si="0">G4*(1+H3)</f>
        <v>340639.2</v>
      </c>
      <c r="I4" s="48">
        <f>inputs!C23*'TIC GP LP split'!C4*12*(1+J3)^2</f>
        <v>358225.92000000004</v>
      </c>
      <c r="J4" s="12">
        <f t="shared" si="0"/>
        <v>372554.95680000004</v>
      </c>
      <c r="K4" s="40">
        <f t="shared" si="0"/>
        <v>387457.15507200005</v>
      </c>
      <c r="L4" s="40">
        <f t="shared" si="0"/>
        <v>402955.44127488008</v>
      </c>
      <c r="M4" s="40">
        <f t="shared" si="0"/>
        <v>419073.65892587532</v>
      </c>
    </row>
    <row r="5" spans="1:14" x14ac:dyDescent="0.2">
      <c r="B5" t="s">
        <v>31</v>
      </c>
      <c r="C5" s="63">
        <f>C3/C4</f>
        <v>61718.75</v>
      </c>
      <c r="D5" s="1"/>
      <c r="E5" s="19" t="s">
        <v>71</v>
      </c>
      <c r="F5" s="166"/>
      <c r="G5" s="173">
        <f>inputs!D27*'TIC GP LP split'!G4</f>
        <v>3096.7200000000003</v>
      </c>
      <c r="H5" s="165">
        <f>inputs!E27*'TIC GP LP split'!H4</f>
        <v>6812.7840000000006</v>
      </c>
      <c r="I5" s="167">
        <f>I4*inputs!C27</f>
        <v>10746.777600000001</v>
      </c>
      <c r="J5" s="12">
        <f>J4*inputs!$C27</f>
        <v>11176.648704000001</v>
      </c>
      <c r="K5" s="12">
        <f>K4*inputs!$C27</f>
        <v>11623.714652160001</v>
      </c>
      <c r="L5" s="12">
        <f>L4*inputs!$C27</f>
        <v>12088.663238246401</v>
      </c>
      <c r="M5" s="12">
        <f>M4*inputs!$C27</f>
        <v>12572.209767776259</v>
      </c>
    </row>
    <row r="6" spans="1:14" x14ac:dyDescent="0.2">
      <c r="D6" s="53"/>
      <c r="E6" s="168" t="s">
        <v>68</v>
      </c>
      <c r="F6" s="169"/>
      <c r="G6" s="176">
        <f>G4*-inputs!D26</f>
        <v>-30967.200000000001</v>
      </c>
      <c r="H6" s="177">
        <f>H4*-inputs!E26</f>
        <v>-27251.136000000002</v>
      </c>
      <c r="I6" s="178">
        <f>I4*-inputs!$C26</f>
        <v>-17911.296000000002</v>
      </c>
      <c r="J6" s="179">
        <f>J4*-inputs!$C26</f>
        <v>-18627.747840000004</v>
      </c>
      <c r="K6" s="179">
        <f>K4*-inputs!$C26</f>
        <v>-19372.857753600005</v>
      </c>
      <c r="L6" s="179">
        <f>L4*-inputs!$C26</f>
        <v>-20147.772063744007</v>
      </c>
      <c r="M6" s="179">
        <f>M4*-inputs!$C26</f>
        <v>-20953.682946293768</v>
      </c>
    </row>
    <row r="7" spans="1:14" x14ac:dyDescent="0.2">
      <c r="B7" s="4" t="s">
        <v>26</v>
      </c>
      <c r="C7" s="24">
        <f>C13-C8</f>
        <v>788150</v>
      </c>
      <c r="E7" s="19" t="s">
        <v>36</v>
      </c>
      <c r="F7" s="166">
        <f>$C20*-F4</f>
        <v>-134640</v>
      </c>
      <c r="G7" s="173">
        <f>inputs!D29*-G4</f>
        <v>-170319.6</v>
      </c>
      <c r="H7" s="165">
        <f>inputs!E29*-H4</f>
        <v>-177132.38400000002</v>
      </c>
      <c r="I7" s="167">
        <f>-I4*C20</f>
        <v>-179112.96000000002</v>
      </c>
      <c r="J7" s="166">
        <f>I7*(1+inputs!$C$30)</f>
        <v>-185381.9136</v>
      </c>
      <c r="K7" s="166">
        <f>J7*(1+inputs!$C$30)</f>
        <v>-191870.28057599999</v>
      </c>
      <c r="L7" s="166">
        <f>K7*(1+inputs!$C$30)</f>
        <v>-198585.74039615996</v>
      </c>
      <c r="M7" s="166">
        <f>L7*(1+inputs!$C$30)</f>
        <v>-205536.24131002554</v>
      </c>
    </row>
    <row r="8" spans="1:14" x14ac:dyDescent="0.2">
      <c r="B8" s="4" t="s">
        <v>6</v>
      </c>
      <c r="C8" s="24">
        <f>(C3+C9)*C16</f>
        <v>1675350</v>
      </c>
      <c r="D8" s="211"/>
      <c r="E8" s="1"/>
      <c r="F8" s="42"/>
      <c r="G8" s="181">
        <f t="shared" ref="G8:M8" si="1">-G7/G4</f>
        <v>0.55000000000000004</v>
      </c>
      <c r="H8" s="41">
        <f t="shared" si="1"/>
        <v>0.52</v>
      </c>
      <c r="I8" s="183">
        <f t="shared" si="1"/>
        <v>0.5</v>
      </c>
      <c r="J8" s="42">
        <f t="shared" si="1"/>
        <v>0.4975961538461538</v>
      </c>
      <c r="K8" s="42">
        <f t="shared" si="1"/>
        <v>0.49520386464497035</v>
      </c>
      <c r="L8" s="42">
        <f t="shared" si="1"/>
        <v>0.49282307683417709</v>
      </c>
      <c r="M8" s="42">
        <f t="shared" si="1"/>
        <v>0.49045373511862805</v>
      </c>
    </row>
    <row r="9" spans="1:14" x14ac:dyDescent="0.2">
      <c r="A9" s="125">
        <f>inputs!C32</f>
        <v>10000</v>
      </c>
      <c r="B9" s="102" t="s">
        <v>30</v>
      </c>
      <c r="C9" s="126">
        <f>A9*C4</f>
        <v>320000</v>
      </c>
      <c r="E9" s="37" t="s">
        <v>11</v>
      </c>
      <c r="F9" s="180">
        <f t="shared" ref="F9:M9" si="2">SUM(F4:F7)</f>
        <v>134640</v>
      </c>
      <c r="G9" s="182">
        <f t="shared" si="2"/>
        <v>111481.91999999995</v>
      </c>
      <c r="H9" s="43">
        <f t="shared" si="2"/>
        <v>143068.46399999998</v>
      </c>
      <c r="I9" s="184">
        <f t="shared" si="2"/>
        <v>171948.44160000008</v>
      </c>
      <c r="J9" s="180">
        <f t="shared" si="2"/>
        <v>179721.94406400001</v>
      </c>
      <c r="K9" s="180">
        <f t="shared" si="2"/>
        <v>187837.73139456008</v>
      </c>
      <c r="L9" s="180">
        <f t="shared" si="2"/>
        <v>196310.5920532225</v>
      </c>
      <c r="M9" s="43">
        <f t="shared" si="2"/>
        <v>205155.94443733225</v>
      </c>
      <c r="N9" s="199"/>
    </row>
    <row r="10" spans="1:14" x14ac:dyDescent="0.2">
      <c r="A10" s="127">
        <f>inputs!C35</f>
        <v>0.03</v>
      </c>
      <c r="B10" s="128" t="s">
        <v>5</v>
      </c>
      <c r="C10" s="126">
        <f>C3*A10</f>
        <v>59250</v>
      </c>
      <c r="E10" s="4" t="s">
        <v>12</v>
      </c>
      <c r="F10" s="206"/>
      <c r="G10" s="204">
        <f>C8*-C15</f>
        <v>-98426.8125</v>
      </c>
      <c r="H10" s="202">
        <f>C8*-C15</f>
        <v>-98426.8125</v>
      </c>
      <c r="I10" s="210">
        <f>PMT($C15/12,$C14*12,$C8,0,0)*12</f>
        <v>-118923.9349839152</v>
      </c>
      <c r="J10" s="31">
        <f>PMT($C15/12,$C14*12,$C8,0,0)*12</f>
        <v>-118923.9349839152</v>
      </c>
      <c r="K10" s="31">
        <f>PMT($C15/12,$C14*12,$C8,0,0)*12</f>
        <v>-118923.9349839152</v>
      </c>
      <c r="L10" s="31">
        <f>PMT($C15/12,$C14*12,$C8,0,0)*12</f>
        <v>-118923.9349839152</v>
      </c>
      <c r="M10" s="31">
        <f>PMT($C15/12,$C14*12,$C8,0,0)*12</f>
        <v>-118923.9349839152</v>
      </c>
    </row>
    <row r="11" spans="1:14" x14ac:dyDescent="0.2">
      <c r="A11" s="127">
        <f>C30</f>
        <v>0.03</v>
      </c>
      <c r="B11" s="128" t="s">
        <v>56</v>
      </c>
      <c r="C11" s="126">
        <f>C3*A11</f>
        <v>59250</v>
      </c>
      <c r="E11" s="15" t="s">
        <v>13</v>
      </c>
      <c r="F11" s="185">
        <f>inputs!C31</f>
        <v>0.02</v>
      </c>
      <c r="G11" s="190">
        <f t="shared" ref="G11:M11" si="3">G4*-$F11</f>
        <v>-6193.4400000000005</v>
      </c>
      <c r="H11" s="191">
        <f t="shared" si="3"/>
        <v>-6812.7840000000006</v>
      </c>
      <c r="I11" s="67">
        <f t="shared" si="3"/>
        <v>-7164.5184000000008</v>
      </c>
      <c r="J11" s="46">
        <f t="shared" si="3"/>
        <v>-7451.0991360000007</v>
      </c>
      <c r="K11" s="46">
        <f t="shared" si="3"/>
        <v>-7749.1431014400014</v>
      </c>
      <c r="L11" s="46">
        <f t="shared" si="3"/>
        <v>-8059.1088254976021</v>
      </c>
      <c r="M11" s="46">
        <f t="shared" si="3"/>
        <v>-8381.4731785175063</v>
      </c>
    </row>
    <row r="12" spans="1:14" x14ac:dyDescent="0.2">
      <c r="A12" s="129"/>
      <c r="B12" s="128" t="s">
        <v>69</v>
      </c>
      <c r="C12" s="126">
        <f>inputs!C22</f>
        <v>50000</v>
      </c>
      <c r="D12" s="1"/>
      <c r="E12" s="19" t="s">
        <v>14</v>
      </c>
      <c r="F12" s="19"/>
      <c r="G12" s="194">
        <f t="shared" ref="G12:J12" si="4">SUM(G9:G11)</f>
        <v>6861.6674999999541</v>
      </c>
      <c r="H12" s="195">
        <f t="shared" si="4"/>
        <v>37828.867499999978</v>
      </c>
      <c r="I12" s="188">
        <f t="shared" si="4"/>
        <v>45859.988216084879</v>
      </c>
      <c r="J12" s="20">
        <f t="shared" si="4"/>
        <v>53346.909944084808</v>
      </c>
      <c r="K12" s="20">
        <f>SUM(K9:K11)</f>
        <v>61164.653309204878</v>
      </c>
      <c r="L12" s="20">
        <f>SUM(L9:L11)</f>
        <v>69327.548243809695</v>
      </c>
      <c r="M12" s="20">
        <f>SUM(M9:M11)</f>
        <v>77850.536274899539</v>
      </c>
      <c r="N12" s="84"/>
    </row>
    <row r="13" spans="1:14" x14ac:dyDescent="0.2">
      <c r="B13" t="s">
        <v>32</v>
      </c>
      <c r="C13" s="63">
        <f>SUM(C3,C9:C12)</f>
        <v>2463500</v>
      </c>
      <c r="D13" s="1"/>
      <c r="E13" s="19" t="s">
        <v>49</v>
      </c>
      <c r="F13" s="186">
        <f>C29</f>
        <v>0.2</v>
      </c>
      <c r="G13" s="187">
        <f>IF(G12&gt;0,$F13*-G12,0)</f>
        <v>-1372.3334999999909</v>
      </c>
      <c r="H13" s="188">
        <f t="shared" ref="H13:I13" si="5">IF(H12&gt;0,$F13*-H12,0)</f>
        <v>-7565.7734999999957</v>
      </c>
      <c r="I13" s="51">
        <f t="shared" si="5"/>
        <v>-9171.9976432169769</v>
      </c>
      <c r="J13" s="20">
        <f t="shared" ref="J13:M13" si="6">$F13*-J12</f>
        <v>-10669.381988816962</v>
      </c>
      <c r="K13" s="20">
        <f t="shared" si="6"/>
        <v>-12232.930661840976</v>
      </c>
      <c r="L13" s="20">
        <f t="shared" si="6"/>
        <v>-13865.509648761939</v>
      </c>
      <c r="M13" s="20">
        <f t="shared" si="6"/>
        <v>-15570.107254979908</v>
      </c>
    </row>
    <row r="14" spans="1:14" x14ac:dyDescent="0.2">
      <c r="B14" s="78" t="s">
        <v>10</v>
      </c>
      <c r="C14" s="29">
        <f>inputs!C37</f>
        <v>30</v>
      </c>
      <c r="D14" s="1"/>
      <c r="E14" s="19" t="s">
        <v>50</v>
      </c>
      <c r="F14" s="19"/>
      <c r="G14" s="196">
        <f>MAX(0,SUM(G12:G13))</f>
        <v>5489.3339999999635</v>
      </c>
      <c r="H14" s="197">
        <f t="shared" ref="H14" si="7">MAX(0,SUM(H12:H13))</f>
        <v>30263.093999999983</v>
      </c>
      <c r="I14" s="188">
        <f t="shared" ref="I14:M14" si="8">SUM(I12:I13)</f>
        <v>36687.9905728679</v>
      </c>
      <c r="J14" s="20">
        <f t="shared" si="8"/>
        <v>42677.527955267848</v>
      </c>
      <c r="K14" s="20">
        <f t="shared" si="8"/>
        <v>48931.722647363902</v>
      </c>
      <c r="L14" s="20">
        <f t="shared" si="8"/>
        <v>55462.038595047758</v>
      </c>
      <c r="M14" s="20">
        <f t="shared" si="8"/>
        <v>62280.429019919633</v>
      </c>
      <c r="N14" s="83"/>
    </row>
    <row r="15" spans="1:14" x14ac:dyDescent="0.2">
      <c r="B15" s="1" t="s">
        <v>4</v>
      </c>
      <c r="C15" s="54">
        <f>inputs!C36</f>
        <v>5.8749999999999997E-2</v>
      </c>
      <c r="E15" s="37" t="s">
        <v>51</v>
      </c>
      <c r="F15" s="9"/>
      <c r="G15" s="192">
        <f>G14/$C$7</f>
        <v>6.9648341051829774E-3</v>
      </c>
      <c r="H15" s="193">
        <f t="shared" ref="H15:M15" si="9">H14/$C$7</f>
        <v>3.8397632430374903E-2</v>
      </c>
      <c r="I15" s="75">
        <f t="shared" si="9"/>
        <v>4.6549502725201926E-2</v>
      </c>
      <c r="J15" s="74">
        <f t="shared" si="9"/>
        <v>5.414899188640214E-2</v>
      </c>
      <c r="K15" s="74">
        <f t="shared" si="9"/>
        <v>6.2084276657189498E-2</v>
      </c>
      <c r="L15" s="74">
        <f t="shared" si="9"/>
        <v>7.0369902423457156E-2</v>
      </c>
      <c r="M15" s="76">
        <f t="shared" si="9"/>
        <v>7.9021035361187125E-2</v>
      </c>
      <c r="N15" s="83"/>
    </row>
    <row r="16" spans="1:14" x14ac:dyDescent="0.2">
      <c r="B16" s="1" t="s">
        <v>33</v>
      </c>
      <c r="C16" s="79">
        <f>inputs!C39</f>
        <v>0.73</v>
      </c>
      <c r="G16" s="60"/>
      <c r="H16" s="5"/>
      <c r="I16" s="68"/>
    </row>
    <row r="17" spans="2:13" x14ac:dyDescent="0.2">
      <c r="D17" s="1"/>
      <c r="E17" s="4" t="s">
        <v>16</v>
      </c>
      <c r="F17" s="4"/>
      <c r="G17" s="205">
        <v>0</v>
      </c>
      <c r="H17" s="203">
        <v>0</v>
      </c>
      <c r="I17" s="160">
        <f>CUMPRINC($C15/12,$C14*12,$C8,1,12,0)</f>
        <v>-21058.157364088172</v>
      </c>
      <c r="J17" s="25">
        <f>CUMPRINC($C15/12,$C14*12,$C8,13,24,0)</f>
        <v>-22329.187091564454</v>
      </c>
      <c r="K17" s="25">
        <f>CUMPRINC($C15/12,$C14*12,$C8,25,37,0)</f>
        <v>-25713.36278866756</v>
      </c>
      <c r="L17" s="25">
        <f>CUMPRINC($C15/12,$C14*12,$C8,37,48,0)</f>
        <v>-25106.027732749797</v>
      </c>
      <c r="M17" s="25">
        <f>CUMPRINC($C15/12,$C14*12,$C8,49,60,0)</f>
        <v>-26621.379101601658</v>
      </c>
    </row>
    <row r="18" spans="2:13" x14ac:dyDescent="0.2">
      <c r="B18" t="s">
        <v>27</v>
      </c>
      <c r="C18" s="98">
        <f>inputs!C21</f>
        <v>701.25</v>
      </c>
      <c r="D18" s="1"/>
      <c r="E18" s="4" t="s">
        <v>17</v>
      </c>
      <c r="F18" s="6"/>
      <c r="G18" s="3">
        <f t="shared" ref="G18:M18" si="10">G9/$C$24</f>
        <v>1858031.9999999993</v>
      </c>
      <c r="H18" s="3">
        <f t="shared" si="10"/>
        <v>2384474.4</v>
      </c>
      <c r="I18" s="50">
        <f t="shared" si="10"/>
        <v>2865807.3600000013</v>
      </c>
      <c r="J18" s="3">
        <f t="shared" si="10"/>
        <v>2995365.7344000004</v>
      </c>
      <c r="K18" s="3">
        <f t="shared" si="10"/>
        <v>3130628.8565760013</v>
      </c>
      <c r="L18" s="3">
        <f t="shared" si="10"/>
        <v>3271843.2008870416</v>
      </c>
      <c r="M18" s="3">
        <f t="shared" si="10"/>
        <v>3419265.7406222043</v>
      </c>
    </row>
    <row r="19" spans="2:13" x14ac:dyDescent="0.2">
      <c r="B19" t="s">
        <v>28</v>
      </c>
      <c r="C19" s="98">
        <f>inputs!C23</f>
        <v>862.5</v>
      </c>
      <c r="D19" s="1"/>
      <c r="E19" s="4" t="s">
        <v>18</v>
      </c>
      <c r="F19" s="6"/>
      <c r="G19" s="14">
        <f t="shared" ref="G19:M19" si="11">G18*-$C$25</f>
        <v>-92901.599999999977</v>
      </c>
      <c r="H19" s="14">
        <f t="shared" si="11"/>
        <v>-119223.72</v>
      </c>
      <c r="I19" s="49">
        <f t="shared" si="11"/>
        <v>-143290.36800000007</v>
      </c>
      <c r="J19" s="3">
        <f t="shared" si="11"/>
        <v>-149768.28672000003</v>
      </c>
      <c r="K19" s="14">
        <f t="shared" si="11"/>
        <v>-156531.44282880006</v>
      </c>
      <c r="L19" s="14">
        <f t="shared" si="11"/>
        <v>-163592.16004435209</v>
      </c>
      <c r="M19" s="14">
        <f t="shared" si="11"/>
        <v>-170963.28703111023</v>
      </c>
    </row>
    <row r="20" spans="2:13" ht="19" x14ac:dyDescent="0.2">
      <c r="B20" t="s">
        <v>42</v>
      </c>
      <c r="C20" s="55">
        <f>inputs!C29</f>
        <v>0.5</v>
      </c>
      <c r="D20" s="1"/>
      <c r="E20" s="4" t="s">
        <v>19</v>
      </c>
      <c r="F20" s="6"/>
      <c r="G20" s="97">
        <f>-$C8</f>
        <v>-1675350</v>
      </c>
      <c r="H20" s="97">
        <f>G20-H17</f>
        <v>-1675350</v>
      </c>
      <c r="I20" s="154">
        <f t="shared" ref="I20:M20" si="12">H20-I17</f>
        <v>-1654291.8426359119</v>
      </c>
      <c r="J20" s="97">
        <f t="shared" si="12"/>
        <v>-1631962.6555443474</v>
      </c>
      <c r="K20" s="97">
        <f t="shared" si="12"/>
        <v>-1606249.2927556797</v>
      </c>
      <c r="L20" s="97">
        <f t="shared" si="12"/>
        <v>-1581143.26502293</v>
      </c>
      <c r="M20" s="97">
        <f t="shared" si="12"/>
        <v>-1554521.8859213283</v>
      </c>
    </row>
    <row r="21" spans="2:13" x14ac:dyDescent="0.2">
      <c r="D21" s="77"/>
      <c r="E21" s="4" t="s">
        <v>20</v>
      </c>
      <c r="F21" s="6"/>
      <c r="G21" s="32">
        <f>SUM(G18:G20)</f>
        <v>89780.399999999441</v>
      </c>
      <c r="H21" s="32">
        <f t="shared" ref="H21:M21" si="13">SUM(H18:H20)</f>
        <v>589900.6799999997</v>
      </c>
      <c r="I21" s="69">
        <f t="shared" si="13"/>
        <v>1068225.1493640891</v>
      </c>
      <c r="J21" s="32">
        <f t="shared" si="13"/>
        <v>1213634.7921356529</v>
      </c>
      <c r="K21" s="32">
        <f t="shared" si="13"/>
        <v>1367848.1209915215</v>
      </c>
      <c r="L21" s="32">
        <f t="shared" si="13"/>
        <v>1527107.7758197596</v>
      </c>
      <c r="M21" s="32">
        <f t="shared" si="13"/>
        <v>1693780.5676697656</v>
      </c>
    </row>
    <row r="22" spans="2:13" x14ac:dyDescent="0.2">
      <c r="E22" s="4" t="s">
        <v>75</v>
      </c>
      <c r="F22" s="6"/>
      <c r="G22" s="32">
        <f>-$C7</f>
        <v>-788150</v>
      </c>
      <c r="H22" s="32">
        <f t="shared" ref="H22:M22" si="14">-$C7</f>
        <v>-788150</v>
      </c>
      <c r="I22" s="69">
        <f t="shared" si="14"/>
        <v>-788150</v>
      </c>
      <c r="J22" s="32">
        <f t="shared" si="14"/>
        <v>-788150</v>
      </c>
      <c r="K22" s="32">
        <f t="shared" si="14"/>
        <v>-788150</v>
      </c>
      <c r="L22" s="32">
        <f t="shared" si="14"/>
        <v>-788150</v>
      </c>
      <c r="M22" s="32">
        <f t="shared" si="14"/>
        <v>-788150</v>
      </c>
    </row>
    <row r="23" spans="2:13" x14ac:dyDescent="0.2">
      <c r="B23" s="80" t="s">
        <v>7</v>
      </c>
      <c r="C23" s="81"/>
      <c r="E23" s="4" t="s">
        <v>24</v>
      </c>
      <c r="F23" s="6"/>
      <c r="G23" s="32">
        <f>SUM(G21:G22)</f>
        <v>-698369.60000000056</v>
      </c>
      <c r="H23" s="32">
        <f t="shared" ref="H23:M23" si="15">SUM(H21:H22)</f>
        <v>-198249.3200000003</v>
      </c>
      <c r="I23" s="69">
        <f t="shared" si="15"/>
        <v>280075.14936408913</v>
      </c>
      <c r="J23" s="32">
        <f t="shared" si="15"/>
        <v>425484.79213565285</v>
      </c>
      <c r="K23" s="32">
        <f t="shared" si="15"/>
        <v>579698.12099152151</v>
      </c>
      <c r="L23" s="32">
        <f t="shared" si="15"/>
        <v>738957.77581975958</v>
      </c>
      <c r="M23" s="32">
        <f t="shared" si="15"/>
        <v>905630.56766976556</v>
      </c>
    </row>
    <row r="24" spans="2:13" ht="19" x14ac:dyDescent="0.2">
      <c r="B24" s="1" t="s">
        <v>8</v>
      </c>
      <c r="C24" s="54">
        <f>inputs!C42</f>
        <v>0.06</v>
      </c>
      <c r="E24" s="4" t="s">
        <v>49</v>
      </c>
      <c r="F24" s="85">
        <f>C29</f>
        <v>0.2</v>
      </c>
      <c r="G24" s="95">
        <f>IF(G23&lt;=0,0,G23*-$F24)</f>
        <v>0</v>
      </c>
      <c r="H24" s="95">
        <f t="shared" ref="H24:M24" si="16">IF(H23&lt;=0,0,H23*-$F24)</f>
        <v>0</v>
      </c>
      <c r="I24" s="96">
        <f t="shared" si="16"/>
        <v>-56015.029872817831</v>
      </c>
      <c r="J24" s="95">
        <f t="shared" si="16"/>
        <v>-85096.958427130579</v>
      </c>
      <c r="K24" s="95">
        <f t="shared" si="16"/>
        <v>-115939.62419830431</v>
      </c>
      <c r="L24" s="95">
        <f t="shared" si="16"/>
        <v>-147791.55516395191</v>
      </c>
      <c r="M24" s="95">
        <f t="shared" si="16"/>
        <v>-181126.11353395312</v>
      </c>
    </row>
    <row r="25" spans="2:13" x14ac:dyDescent="0.2">
      <c r="B25" s="1" t="s">
        <v>9</v>
      </c>
      <c r="C25" s="54">
        <f>inputs!C43</f>
        <v>0.05</v>
      </c>
      <c r="E25" s="4" t="s">
        <v>52</v>
      </c>
      <c r="F25" s="6"/>
      <c r="G25" s="32">
        <f>MAX(0,G21+G24)</f>
        <v>89780.399999999441</v>
      </c>
      <c r="H25" s="32">
        <f t="shared" ref="H25:M25" si="17">MAX(0,H21+H24)</f>
        <v>589900.6799999997</v>
      </c>
      <c r="I25" s="69">
        <f t="shared" si="17"/>
        <v>1012210.1194912713</v>
      </c>
      <c r="J25" s="32">
        <f t="shared" si="17"/>
        <v>1128537.8337085224</v>
      </c>
      <c r="K25" s="32">
        <f t="shared" si="17"/>
        <v>1251908.4967932173</v>
      </c>
      <c r="L25" s="32">
        <f t="shared" si="17"/>
        <v>1379316.2206558078</v>
      </c>
      <c r="M25" s="32">
        <f t="shared" si="17"/>
        <v>1512654.4541358124</v>
      </c>
    </row>
    <row r="26" spans="2:13" x14ac:dyDescent="0.2">
      <c r="B26" t="s">
        <v>67</v>
      </c>
      <c r="C26" s="198">
        <f>inputs!C38</f>
        <v>0</v>
      </c>
      <c r="E26" s="1"/>
      <c r="F26" s="2"/>
      <c r="G26" s="1"/>
      <c r="H26" s="1"/>
      <c r="I26" s="69"/>
      <c r="J26" s="1"/>
      <c r="K26" s="1"/>
      <c r="L26" s="1"/>
      <c r="M26" s="1"/>
    </row>
    <row r="27" spans="2:13" x14ac:dyDescent="0.2">
      <c r="E27" s="4" t="s">
        <v>26</v>
      </c>
      <c r="F27" s="6"/>
      <c r="G27" s="3">
        <f t="shared" ref="G27:M27" si="18">-$C$7</f>
        <v>-788150</v>
      </c>
      <c r="H27" s="3">
        <f t="shared" si="18"/>
        <v>-788150</v>
      </c>
      <c r="I27" s="49">
        <f t="shared" si="18"/>
        <v>-788150</v>
      </c>
      <c r="J27" s="3">
        <f t="shared" si="18"/>
        <v>-788150</v>
      </c>
      <c r="K27" s="3">
        <f t="shared" si="18"/>
        <v>-788150</v>
      </c>
      <c r="L27" s="3">
        <f t="shared" si="18"/>
        <v>-788150</v>
      </c>
      <c r="M27" s="3">
        <f t="shared" si="18"/>
        <v>-788150</v>
      </c>
    </row>
    <row r="28" spans="2:13" x14ac:dyDescent="0.2">
      <c r="B28" s="80" t="s">
        <v>54</v>
      </c>
      <c r="C28" s="86"/>
      <c r="D28" s="1"/>
      <c r="E28" s="1">
        <v>1</v>
      </c>
      <c r="F28" s="2"/>
      <c r="G28" s="3">
        <f>G25+G14</f>
        <v>95269.7339999994</v>
      </c>
      <c r="H28" s="3">
        <f>G14</f>
        <v>5489.3339999999635</v>
      </c>
      <c r="I28" s="49">
        <f>H28</f>
        <v>5489.3339999999635</v>
      </c>
      <c r="J28" s="3">
        <f t="shared" ref="J28:M30" si="19">I28</f>
        <v>5489.3339999999635</v>
      </c>
      <c r="K28" s="3">
        <f t="shared" si="19"/>
        <v>5489.3339999999635</v>
      </c>
      <c r="L28" s="3">
        <f t="shared" si="19"/>
        <v>5489.3339999999635</v>
      </c>
      <c r="M28" s="3">
        <f t="shared" si="19"/>
        <v>5489.3339999999635</v>
      </c>
    </row>
    <row r="29" spans="2:13" x14ac:dyDescent="0.2">
      <c r="B29" t="s">
        <v>55</v>
      </c>
      <c r="C29" s="94">
        <v>0.2</v>
      </c>
      <c r="D29" s="1"/>
      <c r="E29" s="1">
        <v>2</v>
      </c>
      <c r="F29" s="2"/>
      <c r="G29" s="3"/>
      <c r="H29" s="3">
        <f>H25+H14</f>
        <v>620163.77399999974</v>
      </c>
      <c r="I29" s="49">
        <f>H14</f>
        <v>30263.093999999983</v>
      </c>
      <c r="J29" s="3">
        <f>I29</f>
        <v>30263.093999999983</v>
      </c>
      <c r="K29" s="3">
        <f t="shared" si="19"/>
        <v>30263.093999999983</v>
      </c>
      <c r="L29" s="3">
        <f t="shared" si="19"/>
        <v>30263.093999999983</v>
      </c>
      <c r="M29" s="3">
        <f t="shared" si="19"/>
        <v>30263.093999999983</v>
      </c>
    </row>
    <row r="30" spans="2:13" x14ac:dyDescent="0.2">
      <c r="B30" t="s">
        <v>56</v>
      </c>
      <c r="C30" s="93">
        <v>0.03</v>
      </c>
      <c r="D30" s="1"/>
      <c r="E30" s="1">
        <v>3</v>
      </c>
      <c r="F30" s="2"/>
      <c r="G30" s="3"/>
      <c r="H30" s="3"/>
      <c r="I30" s="49">
        <f>I25+I14+I26</f>
        <v>1048898.1100641391</v>
      </c>
      <c r="J30" s="3">
        <f>I14+I26</f>
        <v>36687.9905728679</v>
      </c>
      <c r="K30" s="3">
        <f>J30</f>
        <v>36687.9905728679</v>
      </c>
      <c r="L30" s="3">
        <f t="shared" si="19"/>
        <v>36687.9905728679</v>
      </c>
      <c r="M30" s="3">
        <f t="shared" si="19"/>
        <v>36687.9905728679</v>
      </c>
    </row>
    <row r="31" spans="2:13" x14ac:dyDescent="0.2">
      <c r="D31" s="1"/>
      <c r="E31" s="1">
        <v>4</v>
      </c>
      <c r="F31" s="2"/>
      <c r="G31" s="3"/>
      <c r="H31" s="3"/>
      <c r="I31" s="49"/>
      <c r="J31" s="3">
        <f>J25+J14</f>
        <v>1171215.3616637902</v>
      </c>
      <c r="K31" s="3">
        <f>J14</f>
        <v>42677.527955267848</v>
      </c>
      <c r="L31" s="3">
        <f>K31</f>
        <v>42677.527955267848</v>
      </c>
      <c r="M31" s="3">
        <f>L31</f>
        <v>42677.527955267848</v>
      </c>
    </row>
    <row r="32" spans="2:13" x14ac:dyDescent="0.2">
      <c r="B32" s="21"/>
      <c r="C32" s="28"/>
      <c r="E32" s="1">
        <v>5</v>
      </c>
      <c r="F32" s="2"/>
      <c r="G32" s="3"/>
      <c r="H32" s="3"/>
      <c r="I32" s="49"/>
      <c r="J32" s="3"/>
      <c r="K32" s="3">
        <f>K25+K14</f>
        <v>1300840.2194405813</v>
      </c>
      <c r="L32" s="3">
        <f>K14</f>
        <v>48931.722647363902</v>
      </c>
      <c r="M32" s="3">
        <f>L32</f>
        <v>48931.722647363902</v>
      </c>
    </row>
    <row r="33" spans="1:14" x14ac:dyDescent="0.2">
      <c r="C33" s="24"/>
      <c r="E33" s="1">
        <v>6</v>
      </c>
      <c r="F33" s="2"/>
      <c r="G33" s="3"/>
      <c r="H33" s="3"/>
      <c r="I33" s="49"/>
      <c r="J33" s="3"/>
      <c r="K33" s="3"/>
      <c r="L33" s="3">
        <f>L25+L14</f>
        <v>1434778.2592508555</v>
      </c>
      <c r="M33" s="3">
        <f>L14</f>
        <v>55462.038595047758</v>
      </c>
    </row>
    <row r="34" spans="1:14" x14ac:dyDescent="0.2">
      <c r="C34" s="24"/>
      <c r="E34" s="4" t="s">
        <v>21</v>
      </c>
      <c r="F34" s="6"/>
      <c r="G34" s="3"/>
      <c r="H34" s="3"/>
      <c r="I34" s="49"/>
      <c r="J34" s="3"/>
      <c r="K34" s="3"/>
      <c r="L34" s="3"/>
      <c r="M34" s="3">
        <f>M25+M14</f>
        <v>1574934.8831557319</v>
      </c>
    </row>
    <row r="35" spans="1:14" x14ac:dyDescent="0.2">
      <c r="C35" s="24"/>
      <c r="E35" s="4"/>
      <c r="F35" s="7"/>
      <c r="G35" s="3"/>
      <c r="H35" s="3"/>
      <c r="I35" s="49"/>
      <c r="J35" s="3"/>
      <c r="K35" s="3"/>
      <c r="L35" s="3"/>
      <c r="M35" s="3"/>
      <c r="N35" s="13"/>
    </row>
    <row r="36" spans="1:14" x14ac:dyDescent="0.2">
      <c r="B36" s="4"/>
      <c r="C36" s="8"/>
      <c r="D36" s="1"/>
      <c r="E36" s="37" t="s">
        <v>22</v>
      </c>
      <c r="F36" s="9"/>
      <c r="G36" s="16"/>
      <c r="H36" s="16">
        <f t="shared" ref="H36:M36" si="20">IRR(H27:H34)</f>
        <v>-0.10945940576840385</v>
      </c>
      <c r="I36" s="70">
        <f t="shared" si="20"/>
        <v>0.11394123277556378</v>
      </c>
      <c r="J36" s="47">
        <f t="shared" si="20"/>
        <v>0.12411494811479762</v>
      </c>
      <c r="K36" s="16">
        <f t="shared" si="20"/>
        <v>0.1294165179320248</v>
      </c>
      <c r="L36" s="16">
        <f t="shared" si="20"/>
        <v>0.1319492388990291</v>
      </c>
      <c r="M36" s="45">
        <f t="shared" si="20"/>
        <v>0.13321136988991777</v>
      </c>
    </row>
    <row r="37" spans="1:14" x14ac:dyDescent="0.2">
      <c r="D37" s="1"/>
      <c r="E37" s="1"/>
      <c r="F37" s="1"/>
      <c r="G37" s="1"/>
      <c r="H37" s="1"/>
      <c r="I37" s="71"/>
      <c r="J37" s="1"/>
      <c r="K37" s="1"/>
      <c r="L37" s="1"/>
      <c r="M37" s="1"/>
    </row>
    <row r="38" spans="1:14" x14ac:dyDescent="0.2">
      <c r="D38" s="1"/>
      <c r="E38" s="1" t="s">
        <v>23</v>
      </c>
      <c r="F38" s="1"/>
      <c r="G38" s="17">
        <f t="shared" ref="G38:M38" si="21">G39/-G27</f>
        <v>-0.87912233204339352</v>
      </c>
      <c r="H38" s="17">
        <f t="shared" si="21"/>
        <v>-0.20617508342320667</v>
      </c>
      <c r="I38" s="52">
        <f t="shared" si="21"/>
        <v>0.37619810704071427</v>
      </c>
      <c r="J38" s="17">
        <f t="shared" si="21"/>
        <v>0.57794300607328297</v>
      </c>
      <c r="K38" s="17">
        <f t="shared" si="21"/>
        <v>0.79655924122148936</v>
      </c>
      <c r="L38" s="17">
        <f t="shared" si="21"/>
        <v>1.02858330067418</v>
      </c>
      <c r="M38" s="17">
        <f t="shared" si="21"/>
        <v>1.2767830881510869</v>
      </c>
    </row>
    <row r="39" spans="1:14" x14ac:dyDescent="0.2">
      <c r="D39" s="1"/>
      <c r="E39" s="1" t="s">
        <v>24</v>
      </c>
      <c r="F39" s="1"/>
      <c r="G39" s="3">
        <f t="shared" ref="G39:M39" si="22">SUM(G27:G35)</f>
        <v>-692880.26600000064</v>
      </c>
      <c r="H39" s="3">
        <f t="shared" si="22"/>
        <v>-162496.89200000034</v>
      </c>
      <c r="I39" s="49">
        <f t="shared" si="22"/>
        <v>296500.53806413896</v>
      </c>
      <c r="J39" s="3">
        <f t="shared" si="22"/>
        <v>455505.78023665794</v>
      </c>
      <c r="K39" s="3">
        <f t="shared" si="22"/>
        <v>627808.16596871684</v>
      </c>
      <c r="L39" s="3">
        <f t="shared" si="22"/>
        <v>810677.92842635501</v>
      </c>
      <c r="M39" s="3">
        <f t="shared" si="22"/>
        <v>1006296.5909262792</v>
      </c>
    </row>
    <row r="40" spans="1:14" x14ac:dyDescent="0.2">
      <c r="D40" s="1"/>
      <c r="E40" s="4" t="s">
        <v>25</v>
      </c>
      <c r="F40" s="4"/>
      <c r="G40" s="33">
        <f t="shared" ref="G40:M40" si="23">(G39-G27)/-G27</f>
        <v>0.12087766795660643</v>
      </c>
      <c r="H40" s="33">
        <f t="shared" si="23"/>
        <v>0.79382491657679333</v>
      </c>
      <c r="I40" s="72">
        <f t="shared" si="23"/>
        <v>1.3761981070407143</v>
      </c>
      <c r="J40" s="33">
        <f t="shared" si="23"/>
        <v>1.5779430060732829</v>
      </c>
      <c r="K40" s="33">
        <f t="shared" si="23"/>
        <v>1.7965592412214895</v>
      </c>
      <c r="L40" s="33">
        <f t="shared" si="23"/>
        <v>2.02858330067418</v>
      </c>
      <c r="M40" s="33">
        <f t="shared" si="23"/>
        <v>2.2767830881510873</v>
      </c>
    </row>
    <row r="41" spans="1:14" x14ac:dyDescent="0.2">
      <c r="C41" s="29"/>
      <c r="E41" s="4" t="s">
        <v>65</v>
      </c>
      <c r="F41" s="4"/>
      <c r="G41" s="33">
        <f t="shared" ref="G41:M41" si="24">-G9/G10</f>
        <v>1.1326377149519087</v>
      </c>
      <c r="H41" s="33">
        <f t="shared" si="24"/>
        <v>1.4535517341882831</v>
      </c>
      <c r="I41" s="33">
        <f t="shared" si="24"/>
        <v>1.4458690895424593</v>
      </c>
      <c r="J41" s="33">
        <f t="shared" si="24"/>
        <v>1.5112344212988573</v>
      </c>
      <c r="K41" s="33">
        <f t="shared" si="24"/>
        <v>1.5794779362116269</v>
      </c>
      <c r="L41" s="33">
        <f t="shared" si="24"/>
        <v>1.6507239865530354</v>
      </c>
      <c r="M41" s="33">
        <f t="shared" si="24"/>
        <v>1.7251022215593537</v>
      </c>
    </row>
    <row r="42" spans="1:14" x14ac:dyDescent="0.2">
      <c r="B42" s="1"/>
      <c r="C42" s="22"/>
      <c r="E42" s="4"/>
      <c r="F42" s="4"/>
      <c r="G42" s="33"/>
      <c r="H42" s="33"/>
      <c r="I42" s="33"/>
      <c r="J42" s="33"/>
      <c r="K42" s="33"/>
      <c r="L42" s="33"/>
      <c r="M42" s="33"/>
    </row>
    <row r="43" spans="1:14" x14ac:dyDescent="0.2">
      <c r="B43" s="1"/>
      <c r="C43" s="58"/>
      <c r="E43" s="4"/>
      <c r="F43" s="4"/>
      <c r="G43" s="30">
        <v>1</v>
      </c>
      <c r="H43" s="30">
        <v>2</v>
      </c>
      <c r="I43" s="30">
        <v>3</v>
      </c>
      <c r="J43" s="30">
        <v>4</v>
      </c>
      <c r="K43" s="30">
        <v>5</v>
      </c>
      <c r="L43" s="30">
        <v>6</v>
      </c>
      <c r="M43" s="30">
        <v>7</v>
      </c>
    </row>
    <row r="44" spans="1:14" x14ac:dyDescent="0.2">
      <c r="B44" s="1"/>
      <c r="C44" s="55"/>
      <c r="E44" s="87" t="s">
        <v>53</v>
      </c>
      <c r="F44" s="88"/>
      <c r="G44" s="88"/>
      <c r="H44" s="88"/>
      <c r="I44" s="88"/>
      <c r="J44" s="88"/>
      <c r="K44" s="88"/>
      <c r="L44" s="88"/>
      <c r="M44" s="86"/>
    </row>
    <row r="45" spans="1:14" x14ac:dyDescent="0.2">
      <c r="B45" s="1"/>
      <c r="C45" s="25"/>
      <c r="E45" s="1" t="s">
        <v>48</v>
      </c>
      <c r="F45" s="84">
        <f>$C11</f>
        <v>59250</v>
      </c>
    </row>
    <row r="46" spans="1:14" x14ac:dyDescent="0.2">
      <c r="B46" s="1"/>
      <c r="C46" s="55"/>
      <c r="D46" s="1"/>
      <c r="E46" s="4" t="s">
        <v>57</v>
      </c>
    </row>
    <row r="47" spans="1:14" x14ac:dyDescent="0.2">
      <c r="A47" s="1"/>
      <c r="B47" s="1"/>
      <c r="C47" s="25"/>
      <c r="D47" s="1"/>
      <c r="E47" s="4" t="s">
        <v>58</v>
      </c>
      <c r="G47" s="84">
        <f>-G13</f>
        <v>1372.3334999999909</v>
      </c>
      <c r="H47" s="84">
        <f t="shared" ref="H47:M47" si="25">G47-H13</f>
        <v>8938.1069999999872</v>
      </c>
      <c r="I47" s="84">
        <f t="shared" si="25"/>
        <v>18110.104643216964</v>
      </c>
      <c r="J47" s="84">
        <f t="shared" si="25"/>
        <v>28779.486632033928</v>
      </c>
      <c r="K47" s="84">
        <f t="shared" si="25"/>
        <v>41012.417293874903</v>
      </c>
      <c r="L47" s="84">
        <f t="shared" si="25"/>
        <v>54877.926942636841</v>
      </c>
      <c r="M47" s="84">
        <f t="shared" si="25"/>
        <v>70448.034197616755</v>
      </c>
    </row>
    <row r="48" spans="1:14" ht="19" x14ac:dyDescent="0.35">
      <c r="A48" s="1"/>
      <c r="B48" s="1"/>
      <c r="C48" s="25"/>
      <c r="D48" s="1"/>
      <c r="E48" s="4" t="s">
        <v>7</v>
      </c>
      <c r="G48" s="89">
        <f>-G24</f>
        <v>0</v>
      </c>
      <c r="H48" s="89">
        <f t="shared" ref="H48:M48" si="26">-H24</f>
        <v>0</v>
      </c>
      <c r="I48" s="89">
        <f t="shared" si="26"/>
        <v>56015.029872817831</v>
      </c>
      <c r="J48" s="89">
        <f t="shared" si="26"/>
        <v>85096.958427130579</v>
      </c>
      <c r="K48" s="89">
        <f t="shared" si="26"/>
        <v>115939.62419830431</v>
      </c>
      <c r="L48" s="89">
        <f t="shared" si="26"/>
        <v>147791.55516395191</v>
      </c>
      <c r="M48" s="89">
        <f t="shared" si="26"/>
        <v>181126.11353395312</v>
      </c>
    </row>
    <row r="49" spans="1:13" x14ac:dyDescent="0.2">
      <c r="A49" s="1"/>
      <c r="B49" s="1"/>
      <c r="C49" s="22"/>
      <c r="D49" s="1"/>
      <c r="E49" s="4" t="s">
        <v>59</v>
      </c>
      <c r="G49" s="84">
        <f>SUM($F45,G47:G48)</f>
        <v>60622.333499999993</v>
      </c>
      <c r="H49" s="84">
        <f t="shared" ref="H49:M49" si="27">SUM($F45,H47:H48)</f>
        <v>68188.106999999989</v>
      </c>
      <c r="I49" s="84">
        <f t="shared" si="27"/>
        <v>133375.1345160348</v>
      </c>
      <c r="J49" s="84">
        <f t="shared" si="27"/>
        <v>173126.44505916449</v>
      </c>
      <c r="K49" s="84">
        <f t="shared" si="27"/>
        <v>216202.04149217921</v>
      </c>
      <c r="L49" s="84">
        <f t="shared" si="27"/>
        <v>261919.48210658875</v>
      </c>
      <c r="M49" s="84">
        <f t="shared" si="27"/>
        <v>310824.14773156989</v>
      </c>
    </row>
    <row r="50" spans="1:13" x14ac:dyDescent="0.2">
      <c r="A50" s="1"/>
      <c r="B50" s="1"/>
      <c r="C50" s="30"/>
      <c r="D50" s="1"/>
    </row>
    <row r="51" spans="1:13" ht="19" x14ac:dyDescent="0.35">
      <c r="A51" s="1"/>
      <c r="B51" s="1"/>
      <c r="C51" s="30"/>
      <c r="D51" s="1"/>
      <c r="E51" s="4" t="s">
        <v>60</v>
      </c>
      <c r="G51" s="92">
        <f>G49/G43</f>
        <v>60622.333499999993</v>
      </c>
      <c r="H51" s="92">
        <f t="shared" ref="H51:M51" si="28">H49/H43</f>
        <v>34094.053499999995</v>
      </c>
      <c r="I51" s="92">
        <f t="shared" si="28"/>
        <v>44458.378172011602</v>
      </c>
      <c r="J51" s="92">
        <f t="shared" si="28"/>
        <v>43281.611264791121</v>
      </c>
      <c r="K51" s="92">
        <f t="shared" si="28"/>
        <v>43240.408298435839</v>
      </c>
      <c r="L51" s="92">
        <f t="shared" si="28"/>
        <v>43653.247017764792</v>
      </c>
      <c r="M51" s="92">
        <f t="shared" si="28"/>
        <v>44403.449675938558</v>
      </c>
    </row>
    <row r="52" spans="1:13" x14ac:dyDescent="0.2">
      <c r="A52" s="1"/>
      <c r="B52" s="1"/>
      <c r="C52" s="54"/>
      <c r="D52" s="1"/>
      <c r="E52" s="91">
        <v>0.4</v>
      </c>
      <c r="G52" s="90">
        <f>G$51*$E52</f>
        <v>24248.933399999998</v>
      </c>
      <c r="H52" s="90">
        <f t="shared" ref="H52:M53" si="29">H$51*$E52</f>
        <v>13637.621399999998</v>
      </c>
      <c r="I52" s="90">
        <f t="shared" si="29"/>
        <v>17783.351268804643</v>
      </c>
      <c r="J52" s="90">
        <f t="shared" si="29"/>
        <v>17312.644505916451</v>
      </c>
      <c r="K52" s="90">
        <f t="shared" si="29"/>
        <v>17296.163319374336</v>
      </c>
      <c r="L52" s="90">
        <f t="shared" si="29"/>
        <v>17461.298807105919</v>
      </c>
      <c r="M52" s="90">
        <f t="shared" si="29"/>
        <v>17761.379870375426</v>
      </c>
    </row>
    <row r="53" spans="1:13" x14ac:dyDescent="0.2">
      <c r="A53" s="1"/>
      <c r="B53" s="1"/>
      <c r="C53" s="30"/>
      <c r="D53" s="1"/>
      <c r="E53" s="91">
        <v>0.2</v>
      </c>
      <c r="G53" s="90">
        <f t="shared" ref="G53" si="30">G$51*$E53</f>
        <v>12124.466699999999</v>
      </c>
      <c r="H53" s="90">
        <f t="shared" si="29"/>
        <v>6818.8106999999991</v>
      </c>
      <c r="I53" s="90">
        <f t="shared" si="29"/>
        <v>8891.6756344023215</v>
      </c>
      <c r="J53" s="90">
        <f t="shared" si="29"/>
        <v>8656.3222529582254</v>
      </c>
      <c r="K53" s="90">
        <f t="shared" si="29"/>
        <v>8648.0816596871682</v>
      </c>
      <c r="L53" s="90">
        <f t="shared" si="29"/>
        <v>8730.6494035529595</v>
      </c>
      <c r="M53" s="90">
        <f t="shared" si="29"/>
        <v>8880.6899351877128</v>
      </c>
    </row>
    <row r="54" spans="1:13" x14ac:dyDescent="0.2">
      <c r="A54" s="1"/>
      <c r="B54" s="1"/>
      <c r="C54" s="1"/>
      <c r="D54" s="1"/>
    </row>
    <row r="55" spans="1:13" x14ac:dyDescent="0.2">
      <c r="A55" s="1"/>
      <c r="B55" s="1"/>
      <c r="C55" s="1"/>
      <c r="D55" s="1"/>
    </row>
    <row r="56" spans="1:13" x14ac:dyDescent="0.2">
      <c r="A56" s="1"/>
      <c r="B56" s="1"/>
      <c r="C56" s="1"/>
      <c r="D56" s="1"/>
    </row>
    <row r="57" spans="1:13" x14ac:dyDescent="0.2">
      <c r="A57" s="1"/>
      <c r="B57" s="1"/>
      <c r="C57" s="1"/>
      <c r="D57" s="1"/>
    </row>
    <row r="58" spans="1:13" x14ac:dyDescent="0.2">
      <c r="A58" s="1"/>
      <c r="B58" s="1"/>
      <c r="C58" s="1"/>
      <c r="D58" s="1"/>
    </row>
    <row r="59" spans="1:13" x14ac:dyDescent="0.2">
      <c r="A59" s="1"/>
      <c r="B59" s="1"/>
      <c r="C59" s="1"/>
      <c r="D59" s="1"/>
    </row>
    <row r="60" spans="1:13" x14ac:dyDescent="0.2">
      <c r="A60" s="1"/>
      <c r="B60" s="1"/>
      <c r="C60" s="1"/>
      <c r="D60" s="1"/>
    </row>
    <row r="61" spans="1:13" x14ac:dyDescent="0.2">
      <c r="A61" s="1"/>
      <c r="B61" s="1"/>
      <c r="C61" s="1"/>
      <c r="D61" s="1"/>
    </row>
    <row r="62" spans="1:13" x14ac:dyDescent="0.2">
      <c r="A62" s="1"/>
      <c r="B62" s="1"/>
      <c r="C62" s="1"/>
      <c r="D62" s="1"/>
    </row>
    <row r="63" spans="1:13" x14ac:dyDescent="0.2">
      <c r="A63" s="1"/>
      <c r="B63" s="1"/>
      <c r="C63" s="1"/>
    </row>
    <row r="64" spans="1:13" x14ac:dyDescent="0.2">
      <c r="B64" s="1"/>
      <c r="C64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inputs</vt:lpstr>
      <vt:lpstr>simple model</vt:lpstr>
      <vt:lpstr>TIC GP LP split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 Lee</dc:creator>
  <cp:lastModifiedBy>Microsoft Office User</cp:lastModifiedBy>
  <dcterms:created xsi:type="dcterms:W3CDTF">2021-08-06T01:22:19Z</dcterms:created>
  <dcterms:modified xsi:type="dcterms:W3CDTF">2022-12-06T18:57:18Z</dcterms:modified>
</cp:coreProperties>
</file>